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i\Dropbox (WiLS)\WiLS-wide\WPLC\Financials\Budgets\WPLC budget\2023\"/>
    </mc:Choice>
  </mc:AlternateContent>
  <xr:revisionPtr revIDLastSave="0" documentId="13_ncr:1_{C6DAC9CA-06BC-4158-9914-1C735945D779}" xr6:coauthVersionLast="47" xr6:coauthVersionMax="47" xr10:uidLastSave="{00000000-0000-0000-0000-000000000000}"/>
  <bookViews>
    <workbookView xWindow="29130" yWindow="1245" windowWidth="28995" windowHeight="13650" tabRatio="740" activeTab="5" xr2:uid="{00000000-000D-0000-FFFF-FFFF00000000}"/>
  </bookViews>
  <sheets>
    <sheet name="2023 budget" sheetId="1" r:id="rId1"/>
    <sheet name="21-22 comparison and totals" sheetId="7" state="hidden" r:id="rId2"/>
    <sheet name="22-23 comparisons and totals" sheetId="9" r:id="rId3"/>
    <sheet name="Member shares" sheetId="2" r:id="rId4"/>
    <sheet name="Magazine Costs" sheetId="8" r:id="rId5"/>
    <sheet name="Buying pool summary" sheetId="3" r:id="rId6"/>
    <sheet name="Buying pool 22-23 comparison" sheetId="6" r:id="rId7"/>
  </sheets>
  <definedNames>
    <definedName name="_xlnm.Print_Area" localSheetId="1">'21-22 comparison and totals'!$A$1:$F$23</definedName>
    <definedName name="_xlnm.Print_Area" localSheetId="6">'Buying pool 22-23 comparison'!#REF!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H23" i="3"/>
  <c r="H4" i="3" l="1"/>
  <c r="D7" i="8" l="1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6" i="8"/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7" i="9"/>
  <c r="D7" i="1"/>
  <c r="D12" i="1" l="1"/>
  <c r="B22" i="9" l="1"/>
  <c r="B15" i="9"/>
  <c r="D22" i="8" l="1"/>
  <c r="E8" i="8" s="1"/>
  <c r="B22" i="8"/>
  <c r="C22" i="8" s="1"/>
  <c r="C30" i="1" l="1"/>
  <c r="E19" i="8"/>
  <c r="E6" i="8"/>
  <c r="E7" i="8"/>
  <c r="C11" i="8"/>
  <c r="E18" i="8"/>
  <c r="C21" i="8"/>
  <c r="C10" i="8"/>
  <c r="E15" i="8"/>
  <c r="C20" i="8"/>
  <c r="C9" i="8"/>
  <c r="E14" i="8"/>
  <c r="C12" i="8"/>
  <c r="C19" i="8"/>
  <c r="E13" i="8"/>
  <c r="C18" i="8"/>
  <c r="E22" i="8"/>
  <c r="E12" i="8"/>
  <c r="C17" i="8"/>
  <c r="E21" i="8"/>
  <c r="E11" i="8"/>
  <c r="C13" i="8"/>
  <c r="E20" i="8"/>
  <c r="E10" i="8"/>
  <c r="C15" i="8"/>
  <c r="C7" i="8"/>
  <c r="E17" i="8"/>
  <c r="I18" i="9" s="1"/>
  <c r="E9" i="8"/>
  <c r="C16" i="8"/>
  <c r="C8" i="8"/>
  <c r="G8" i="8" s="1"/>
  <c r="E9" i="9" s="1"/>
  <c r="C6" i="8"/>
  <c r="C14" i="8"/>
  <c r="E16" i="8"/>
  <c r="G14" i="8" l="1"/>
  <c r="E15" i="9" s="1"/>
  <c r="G18" i="8"/>
  <c r="E19" i="9" s="1"/>
  <c r="B1" i="2"/>
  <c r="C12" i="1"/>
  <c r="G15" i="8"/>
  <c r="E16" i="9" s="1"/>
  <c r="G7" i="8"/>
  <c r="E8" i="9" s="1"/>
  <c r="G21" i="8"/>
  <c r="E22" i="9" s="1"/>
  <c r="G19" i="8"/>
  <c r="E20" i="9" s="1"/>
  <c r="G12" i="8"/>
  <c r="E13" i="9" s="1"/>
  <c r="G10" i="8"/>
  <c r="E11" i="9" s="1"/>
  <c r="G13" i="8"/>
  <c r="E14" i="9" s="1"/>
  <c r="G11" i="8"/>
  <c r="E12" i="9" s="1"/>
  <c r="G16" i="8"/>
  <c r="E17" i="9" s="1"/>
  <c r="G17" i="8"/>
  <c r="E18" i="9" s="1"/>
  <c r="G9" i="8"/>
  <c r="E10" i="9" s="1"/>
  <c r="G20" i="8"/>
  <c r="E21" i="9" s="1"/>
  <c r="F6" i="8"/>
  <c r="G6" i="8"/>
  <c r="I15" i="9"/>
  <c r="I22" i="9"/>
  <c r="F19" i="8"/>
  <c r="I12" i="9"/>
  <c r="I11" i="9"/>
  <c r="F9" i="8"/>
  <c r="F17" i="8"/>
  <c r="I10" i="9"/>
  <c r="I14" i="9"/>
  <c r="F21" i="8"/>
  <c r="F12" i="8"/>
  <c r="F11" i="8"/>
  <c r="F13" i="8"/>
  <c r="I20" i="9"/>
  <c r="I21" i="9"/>
  <c r="I13" i="9"/>
  <c r="F20" i="8"/>
  <c r="I19" i="9"/>
  <c r="F18" i="8"/>
  <c r="F10" i="8"/>
  <c r="F8" i="8"/>
  <c r="I9" i="9"/>
  <c r="F16" i="8"/>
  <c r="I17" i="9"/>
  <c r="F7" i="8"/>
  <c r="I8" i="9"/>
  <c r="F14" i="8"/>
  <c r="I16" i="9"/>
  <c r="F15" i="8"/>
  <c r="E7" i="9" l="1"/>
  <c r="E23" i="9" s="1"/>
  <c r="G22" i="8"/>
  <c r="F22" i="8"/>
  <c r="I7" i="9"/>
  <c r="I23" i="9" s="1"/>
  <c r="H22" i="8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7" i="7"/>
  <c r="D30" i="1" l="1"/>
  <c r="L23" i="3" l="1"/>
  <c r="F23" i="7"/>
  <c r="B15" i="7"/>
  <c r="B22" i="7"/>
  <c r="C25" i="6"/>
  <c r="E25" i="6"/>
  <c r="G25" i="6"/>
  <c r="K25" i="6"/>
  <c r="M25" i="6"/>
  <c r="I25" i="6"/>
  <c r="D23" i="3"/>
  <c r="B23" i="3"/>
  <c r="C12" i="3" s="1"/>
  <c r="B13" i="6" s="1"/>
  <c r="I8" i="3"/>
  <c r="B2" i="2"/>
  <c r="J8" i="3" l="1"/>
  <c r="L9" i="6" s="1"/>
  <c r="J9" i="6"/>
  <c r="B11" i="2"/>
  <c r="B19" i="2"/>
  <c r="B13" i="2"/>
  <c r="B15" i="2"/>
  <c r="B16" i="2"/>
  <c r="B9" i="2"/>
  <c r="B12" i="2"/>
  <c r="B20" i="2"/>
  <c r="B21" i="2"/>
  <c r="B6" i="2"/>
  <c r="B17" i="2"/>
  <c r="B10" i="2"/>
  <c r="B14" i="2"/>
  <c r="B18" i="2"/>
  <c r="B7" i="2"/>
  <c r="B8" i="2"/>
  <c r="H8" i="9"/>
  <c r="H9" i="9"/>
  <c r="H10" i="9"/>
  <c r="H18" i="9"/>
  <c r="H20" i="9"/>
  <c r="H16" i="9"/>
  <c r="H11" i="9"/>
  <c r="H19" i="9"/>
  <c r="H21" i="9"/>
  <c r="H12" i="9"/>
  <c r="H13" i="9"/>
  <c r="H14" i="9"/>
  <c r="H22" i="9"/>
  <c r="H7" i="9"/>
  <c r="H17" i="9"/>
  <c r="H15" i="9"/>
  <c r="E11" i="3"/>
  <c r="D12" i="6" s="1"/>
  <c r="I14" i="3"/>
  <c r="J14" i="3" s="1"/>
  <c r="I10" i="3"/>
  <c r="I21" i="3"/>
  <c r="I12" i="3"/>
  <c r="I9" i="3"/>
  <c r="I17" i="3"/>
  <c r="E7" i="3"/>
  <c r="E17" i="3"/>
  <c r="D18" i="6" s="1"/>
  <c r="C13" i="3"/>
  <c r="B14" i="6" s="1"/>
  <c r="C14" i="3"/>
  <c r="B15" i="6" s="1"/>
  <c r="C10" i="3"/>
  <c r="B11" i="6" s="1"/>
  <c r="C9" i="3"/>
  <c r="B10" i="6" s="1"/>
  <c r="C8" i="3"/>
  <c r="B9" i="6" s="1"/>
  <c r="C22" i="3"/>
  <c r="B23" i="6" s="1"/>
  <c r="C7" i="3"/>
  <c r="C15" i="3"/>
  <c r="B16" i="6" s="1"/>
  <c r="C17" i="3"/>
  <c r="B18" i="6" s="1"/>
  <c r="C18" i="3"/>
  <c r="B19" i="6" s="1"/>
  <c r="C16" i="3"/>
  <c r="B17" i="6" s="1"/>
  <c r="C19" i="3"/>
  <c r="B20" i="6" s="1"/>
  <c r="C20" i="3"/>
  <c r="B21" i="6" s="1"/>
  <c r="C11" i="3"/>
  <c r="C21" i="3"/>
  <c r="B22" i="6" s="1"/>
  <c r="E22" i="3"/>
  <c r="D23" i="6" s="1"/>
  <c r="I11" i="3"/>
  <c r="E15" i="3"/>
  <c r="D16" i="6" s="1"/>
  <c r="E16" i="3"/>
  <c r="D17" i="6" s="1"/>
  <c r="I18" i="3"/>
  <c r="E13" i="3"/>
  <c r="D14" i="6" s="1"/>
  <c r="E9" i="3"/>
  <c r="D10" i="6" s="1"/>
  <c r="I15" i="3"/>
  <c r="E10" i="3"/>
  <c r="D11" i="6" s="1"/>
  <c r="I20" i="3"/>
  <c r="I7" i="3"/>
  <c r="J8" i="6" s="1"/>
  <c r="E20" i="3"/>
  <c r="D21" i="6" s="1"/>
  <c r="E21" i="3"/>
  <c r="D22" i="6" s="1"/>
  <c r="E14" i="3"/>
  <c r="D15" i="6" s="1"/>
  <c r="I16" i="3"/>
  <c r="E19" i="3"/>
  <c r="D20" i="6" s="1"/>
  <c r="I22" i="3"/>
  <c r="I19" i="3"/>
  <c r="E18" i="3"/>
  <c r="D19" i="6" s="1"/>
  <c r="I13" i="3"/>
  <c r="E8" i="3"/>
  <c r="D9" i="6" s="1"/>
  <c r="E12" i="3"/>
  <c r="D13" i="6" s="1"/>
  <c r="D8" i="6" l="1"/>
  <c r="D25" i="6" s="1"/>
  <c r="E23" i="3"/>
  <c r="B8" i="6"/>
  <c r="C23" i="3"/>
  <c r="J13" i="3"/>
  <c r="L14" i="6" s="1"/>
  <c r="J14" i="6"/>
  <c r="J18" i="3"/>
  <c r="L19" i="6" s="1"/>
  <c r="J19" i="6"/>
  <c r="J17" i="3"/>
  <c r="L18" i="6" s="1"/>
  <c r="J18" i="6"/>
  <c r="G11" i="3"/>
  <c r="H12" i="6" s="1"/>
  <c r="B12" i="6"/>
  <c r="J9" i="3"/>
  <c r="L10" i="6" s="1"/>
  <c r="J10" i="6"/>
  <c r="J19" i="3"/>
  <c r="L20" i="6" s="1"/>
  <c r="J20" i="6"/>
  <c r="J12" i="3"/>
  <c r="L13" i="6" s="1"/>
  <c r="J13" i="6"/>
  <c r="J15" i="3"/>
  <c r="L16" i="6" s="1"/>
  <c r="J16" i="6"/>
  <c r="J21" i="3"/>
  <c r="L22" i="6" s="1"/>
  <c r="J22" i="6"/>
  <c r="J20" i="3"/>
  <c r="L21" i="6" s="1"/>
  <c r="J21" i="6"/>
  <c r="J16" i="3"/>
  <c r="L17" i="6" s="1"/>
  <c r="J17" i="6"/>
  <c r="J11" i="3"/>
  <c r="L12" i="6" s="1"/>
  <c r="J12" i="6"/>
  <c r="J10" i="3"/>
  <c r="L11" i="6" s="1"/>
  <c r="J11" i="6"/>
  <c r="J22" i="3"/>
  <c r="L23" i="6" s="1"/>
  <c r="J23" i="6"/>
  <c r="L15" i="6"/>
  <c r="J15" i="6"/>
  <c r="D13" i="9"/>
  <c r="G13" i="7"/>
  <c r="H13" i="7" s="1"/>
  <c r="D19" i="9"/>
  <c r="G19" i="7"/>
  <c r="H19" i="7" s="1"/>
  <c r="D10" i="9"/>
  <c r="G10" i="7"/>
  <c r="H10" i="7" s="1"/>
  <c r="D15" i="9"/>
  <c r="G15" i="7"/>
  <c r="H15" i="7" s="1"/>
  <c r="D17" i="9"/>
  <c r="G17" i="7"/>
  <c r="H17" i="7" s="1"/>
  <c r="D8" i="9"/>
  <c r="G8" i="7"/>
  <c r="H8" i="7" s="1"/>
  <c r="B22" i="2"/>
  <c r="D11" i="9"/>
  <c r="G11" i="7"/>
  <c r="H11" i="7" s="1"/>
  <c r="D16" i="9"/>
  <c r="G16" i="7"/>
  <c r="H16" i="7" s="1"/>
  <c r="D9" i="9"/>
  <c r="G9" i="7"/>
  <c r="H9" i="7" s="1"/>
  <c r="D18" i="9"/>
  <c r="G18" i="7"/>
  <c r="H18" i="7" s="1"/>
  <c r="D14" i="9"/>
  <c r="G14" i="7"/>
  <c r="H14" i="7" s="1"/>
  <c r="D7" i="9"/>
  <c r="G7" i="7"/>
  <c r="D20" i="9"/>
  <c r="G20" i="7"/>
  <c r="H20" i="7" s="1"/>
  <c r="D21" i="9"/>
  <c r="G21" i="7"/>
  <c r="H21" i="7" s="1"/>
  <c r="D22" i="9"/>
  <c r="G22" i="7"/>
  <c r="H22" i="7" s="1"/>
  <c r="D12" i="9"/>
  <c r="G12" i="7"/>
  <c r="H12" i="7" s="1"/>
  <c r="H23" i="9"/>
  <c r="D11" i="7"/>
  <c r="D10" i="2"/>
  <c r="D15" i="7"/>
  <c r="D14" i="2"/>
  <c r="D22" i="7"/>
  <c r="D21" i="2"/>
  <c r="D20" i="7"/>
  <c r="D19" i="2"/>
  <c r="D19" i="7"/>
  <c r="D18" i="2"/>
  <c r="D14" i="7"/>
  <c r="D13" i="2"/>
  <c r="D18" i="7"/>
  <c r="D17" i="2"/>
  <c r="D16" i="7"/>
  <c r="D15" i="2"/>
  <c r="D13" i="7"/>
  <c r="D12" i="2"/>
  <c r="D10" i="7"/>
  <c r="D9" i="2"/>
  <c r="D17" i="7"/>
  <c r="D16" i="2"/>
  <c r="D9" i="7"/>
  <c r="D8" i="2"/>
  <c r="D7" i="7"/>
  <c r="D6" i="2"/>
  <c r="C22" i="2"/>
  <c r="D12" i="7"/>
  <c r="D11" i="2"/>
  <c r="D21" i="7"/>
  <c r="D20" i="2"/>
  <c r="D8" i="7"/>
  <c r="D7" i="2"/>
  <c r="G18" i="3"/>
  <c r="G9" i="3"/>
  <c r="F17" i="3"/>
  <c r="F18" i="6" s="1"/>
  <c r="F15" i="3"/>
  <c r="F16" i="6" s="1"/>
  <c r="F18" i="3"/>
  <c r="F19" i="6" s="1"/>
  <c r="F9" i="3"/>
  <c r="F10" i="6" s="1"/>
  <c r="F11" i="3"/>
  <c r="F12" i="6" s="1"/>
  <c r="F16" i="3"/>
  <c r="F17" i="6" s="1"/>
  <c r="G17" i="3"/>
  <c r="F7" i="3"/>
  <c r="F8" i="6" s="1"/>
  <c r="G7" i="3"/>
  <c r="H8" i="6" s="1"/>
  <c r="G19" i="3"/>
  <c r="G15" i="3"/>
  <c r="I23" i="3"/>
  <c r="J7" i="3"/>
  <c r="L8" i="6" s="1"/>
  <c r="F12" i="3"/>
  <c r="F13" i="6" s="1"/>
  <c r="G12" i="3"/>
  <c r="F22" i="3"/>
  <c r="F23" i="6" s="1"/>
  <c r="G22" i="3"/>
  <c r="G16" i="3"/>
  <c r="F8" i="3"/>
  <c r="F9" i="6" s="1"/>
  <c r="G8" i="3"/>
  <c r="H9" i="6" s="1"/>
  <c r="G20" i="3"/>
  <c r="F20" i="3"/>
  <c r="F21" i="6" s="1"/>
  <c r="G21" i="3"/>
  <c r="F21" i="3"/>
  <c r="F22" i="6" s="1"/>
  <c r="F10" i="3"/>
  <c r="F11" i="6" s="1"/>
  <c r="G10" i="3"/>
  <c r="F14" i="3"/>
  <c r="F15" i="6" s="1"/>
  <c r="G14" i="3"/>
  <c r="G13" i="3"/>
  <c r="F13" i="3"/>
  <c r="F14" i="6" s="1"/>
  <c r="F19" i="3"/>
  <c r="F20" i="6" s="1"/>
  <c r="B25" i="6" l="1"/>
  <c r="F25" i="6"/>
  <c r="J25" i="6"/>
  <c r="L25" i="6"/>
  <c r="K11" i="3"/>
  <c r="C11" i="9" s="1"/>
  <c r="F11" i="9" s="1"/>
  <c r="K11" i="9" s="1"/>
  <c r="K13" i="3"/>
  <c r="C13" i="7" s="1"/>
  <c r="E13" i="7" s="1"/>
  <c r="I13" i="7" s="1"/>
  <c r="H14" i="6"/>
  <c r="K16" i="3"/>
  <c r="C16" i="7" s="1"/>
  <c r="E16" i="7" s="1"/>
  <c r="I16" i="7" s="1"/>
  <c r="H17" i="6"/>
  <c r="J11" i="9"/>
  <c r="K9" i="3"/>
  <c r="M9" i="3" s="1"/>
  <c r="H10" i="6"/>
  <c r="K22" i="3"/>
  <c r="M22" i="3" s="1"/>
  <c r="H23" i="6"/>
  <c r="K21" i="3"/>
  <c r="M21" i="3" s="1"/>
  <c r="H22" i="6"/>
  <c r="K15" i="3"/>
  <c r="H16" i="6"/>
  <c r="K18" i="3"/>
  <c r="H19" i="6"/>
  <c r="K12" i="3"/>
  <c r="M12" i="3" s="1"/>
  <c r="H13" i="6"/>
  <c r="K19" i="3"/>
  <c r="M19" i="3" s="1"/>
  <c r="H20" i="6"/>
  <c r="K10" i="3"/>
  <c r="M10" i="3" s="1"/>
  <c r="H11" i="6"/>
  <c r="K20" i="3"/>
  <c r="M20" i="3" s="1"/>
  <c r="H21" i="6"/>
  <c r="K17" i="3"/>
  <c r="M17" i="3" s="1"/>
  <c r="H18" i="6"/>
  <c r="K14" i="3"/>
  <c r="M14" i="3" s="1"/>
  <c r="H15" i="6"/>
  <c r="D23" i="9"/>
  <c r="H7" i="7"/>
  <c r="H23" i="7" s="1"/>
  <c r="G23" i="7"/>
  <c r="D23" i="7"/>
  <c r="K7" i="3"/>
  <c r="C7" i="9" s="1"/>
  <c r="D22" i="2"/>
  <c r="K8" i="3"/>
  <c r="G23" i="3"/>
  <c r="J23" i="3"/>
  <c r="F23" i="3"/>
  <c r="H25" i="6" l="1"/>
  <c r="M16" i="3"/>
  <c r="C14" i="7"/>
  <c r="E14" i="7" s="1"/>
  <c r="I14" i="7" s="1"/>
  <c r="M13" i="3"/>
  <c r="C12" i="7"/>
  <c r="E12" i="7" s="1"/>
  <c r="I12" i="7" s="1"/>
  <c r="C17" i="7"/>
  <c r="E17" i="7" s="1"/>
  <c r="I17" i="7" s="1"/>
  <c r="M11" i="3"/>
  <c r="C11" i="7"/>
  <c r="E11" i="7" s="1"/>
  <c r="I11" i="7" s="1"/>
  <c r="C9" i="7"/>
  <c r="E9" i="7" s="1"/>
  <c r="I9" i="7" s="1"/>
  <c r="C20" i="7"/>
  <c r="E20" i="7" s="1"/>
  <c r="I20" i="7" s="1"/>
  <c r="C21" i="7"/>
  <c r="E21" i="7" s="1"/>
  <c r="I21" i="7" s="1"/>
  <c r="C22" i="7"/>
  <c r="E22" i="7" s="1"/>
  <c r="I22" i="7" s="1"/>
  <c r="C19" i="7"/>
  <c r="E19" i="7" s="1"/>
  <c r="I19" i="7" s="1"/>
  <c r="J20" i="9"/>
  <c r="C20" i="9"/>
  <c r="F20" i="9" s="1"/>
  <c r="J18" i="9"/>
  <c r="C18" i="9"/>
  <c r="F18" i="9" s="1"/>
  <c r="C10" i="7"/>
  <c r="E10" i="7" s="1"/>
  <c r="I10" i="7" s="1"/>
  <c r="J21" i="9"/>
  <c r="C21" i="9"/>
  <c r="F21" i="9" s="1"/>
  <c r="J14" i="9"/>
  <c r="C14" i="9"/>
  <c r="F14" i="9" s="1"/>
  <c r="J19" i="9"/>
  <c r="C19" i="9"/>
  <c r="F19" i="9" s="1"/>
  <c r="J22" i="9"/>
  <c r="C22" i="9"/>
  <c r="F22" i="9" s="1"/>
  <c r="F7" i="9"/>
  <c r="J16" i="9"/>
  <c r="C16" i="9"/>
  <c r="F16" i="9" s="1"/>
  <c r="J15" i="9"/>
  <c r="C15" i="9"/>
  <c r="F15" i="9" s="1"/>
  <c r="C18" i="7"/>
  <c r="E18" i="7" s="1"/>
  <c r="I18" i="7" s="1"/>
  <c r="J17" i="9"/>
  <c r="C17" i="9"/>
  <c r="F17" i="9" s="1"/>
  <c r="J12" i="9"/>
  <c r="C12" i="9"/>
  <c r="F12" i="9" s="1"/>
  <c r="J8" i="9"/>
  <c r="C8" i="9"/>
  <c r="F8" i="9" s="1"/>
  <c r="C15" i="7"/>
  <c r="E15" i="7" s="1"/>
  <c r="I15" i="7" s="1"/>
  <c r="M18" i="3"/>
  <c r="M15" i="3"/>
  <c r="J9" i="9"/>
  <c r="C9" i="9"/>
  <c r="F9" i="9" s="1"/>
  <c r="J13" i="9"/>
  <c r="C13" i="9"/>
  <c r="F13" i="9" s="1"/>
  <c r="J10" i="9"/>
  <c r="C10" i="9"/>
  <c r="F10" i="9" s="1"/>
  <c r="C7" i="7"/>
  <c r="E7" i="7" s="1"/>
  <c r="K23" i="3"/>
  <c r="M8" i="3"/>
  <c r="C8" i="7"/>
  <c r="E8" i="7" s="1"/>
  <c r="I8" i="7" s="1"/>
  <c r="M7" i="3"/>
  <c r="F23" i="9" l="1"/>
  <c r="C23" i="9"/>
  <c r="K8" i="9"/>
  <c r="K22" i="9"/>
  <c r="K19" i="9"/>
  <c r="K9" i="9"/>
  <c r="K14" i="9"/>
  <c r="K21" i="9"/>
  <c r="K10" i="9"/>
  <c r="K15" i="9"/>
  <c r="K17" i="9"/>
  <c r="K13" i="9"/>
  <c r="K16" i="9"/>
  <c r="K18" i="9"/>
  <c r="K12" i="9"/>
  <c r="K20" i="9"/>
  <c r="G23" i="9"/>
  <c r="J7" i="9"/>
  <c r="C23" i="7"/>
  <c r="I7" i="7"/>
  <c r="E23" i="7"/>
  <c r="K7" i="9" l="1"/>
  <c r="J23" i="9"/>
</calcChain>
</file>

<file path=xl/sharedStrings.xml><?xml version="1.0" encoding="utf-8"?>
<sst xmlns="http://schemas.openxmlformats.org/spreadsheetml/2006/main" count="229" uniqueCount="127">
  <si>
    <t>Income</t>
  </si>
  <si>
    <t>Member shares</t>
  </si>
  <si>
    <t>Other income</t>
  </si>
  <si>
    <t>Expenses</t>
  </si>
  <si>
    <t>Website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</si>
  <si>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</si>
  <si>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</si>
  <si>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</si>
  <si>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</si>
  <si>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</si>
  <si>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</si>
  <si>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</si>
  <si>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</si>
  <si>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</si>
  <si>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g.</t>
  </si>
  <si>
    <t>h.</t>
  </si>
  <si>
    <t>i.</t>
  </si>
  <si>
    <t>Digital Newspaper Hosting</t>
  </si>
  <si>
    <t xml:space="preserve">Buying pool income </t>
  </si>
  <si>
    <t>Carryover*</t>
  </si>
  <si>
    <t>R &amp; D</t>
  </si>
  <si>
    <t>OverDrive Content</t>
  </si>
  <si>
    <t>Reserve/R&amp;D Fund Allocations</t>
  </si>
  <si>
    <t>Operating/project expenses</t>
  </si>
  <si>
    <t>Total expenditures in budget:</t>
  </si>
  <si>
    <t>Partner</t>
  </si>
  <si>
    <t>Difference</t>
  </si>
  <si>
    <t>Arrowhead</t>
  </si>
  <si>
    <t xml:space="preserve">Bridges </t>
  </si>
  <si>
    <t>Kenosha</t>
  </si>
  <si>
    <t>Lakeshores</t>
  </si>
  <si>
    <t>Manitowoc Calumet</t>
  </si>
  <si>
    <t>Milwaukee</t>
  </si>
  <si>
    <t>Monarch</t>
  </si>
  <si>
    <t>Nicolet</t>
  </si>
  <si>
    <t>Northern Waters</t>
  </si>
  <si>
    <t>OWLS</t>
  </si>
  <si>
    <t>South Central</t>
  </si>
  <si>
    <t>Southwest Wisconsin</t>
  </si>
  <si>
    <t>Winding Rivers</t>
  </si>
  <si>
    <t>Winnefox</t>
  </si>
  <si>
    <t>WVLS</t>
  </si>
  <si>
    <t>TOTALS</t>
  </si>
  <si>
    <t>Cost per share (rounded to nearest dollar):</t>
  </si>
  <si>
    <t>Base amount</t>
  </si>
  <si>
    <t>Base amount goes toward shared collection</t>
  </si>
  <si>
    <t>Holds reduction amount</t>
  </si>
  <si>
    <t>Holds reduction amount goes to Advantage</t>
  </si>
  <si>
    <t>Base amount**</t>
  </si>
  <si>
    <t>Overdrive Checkouts by system</t>
  </si>
  <si>
    <t>Usage</t>
  </si>
  <si>
    <t>% of usage</t>
  </si>
  <si>
    <t>% of population</t>
  </si>
  <si>
    <t>Share</t>
  </si>
  <si>
    <t>Holds placed</t>
  </si>
  <si>
    <t>% of holds placed</t>
  </si>
  <si>
    <t>Share (Advantage)</t>
  </si>
  <si>
    <t>Arrowhead Library System</t>
  </si>
  <si>
    <t>Bridges Library System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</si>
  <si>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</si>
  <si>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</si>
  <si>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</si>
  <si>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</si>
  <si>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</si>
  <si>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</si>
  <si>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</si>
  <si>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</si>
  <si>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</si>
  <si>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</si>
  <si>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</si>
  <si>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</si>
  <si>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</si>
  <si>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Totals</t>
  </si>
  <si>
    <t>**Usage weighted at 75%; population weighted at 25%</t>
  </si>
  <si>
    <t>***Holds are for InfoSoup, split by ratio of usage</t>
  </si>
  <si>
    <t>percentage</t>
  </si>
  <si>
    <t>Base Amount %</t>
  </si>
  <si>
    <t>Base Share Amount</t>
  </si>
  <si>
    <t>Change</t>
  </si>
  <si>
    <t>Base Amount Share</t>
  </si>
  <si>
    <t>Holds Reduction Share</t>
  </si>
  <si>
    <t>Wisconsin Valley Library Service</t>
  </si>
  <si>
    <t>Outagamie Waupaca Library System</t>
  </si>
  <si>
    <t>Nicolet Federated Library System</t>
  </si>
  <si>
    <t>in Total</t>
  </si>
  <si>
    <t>Total</t>
  </si>
  <si>
    <t>Buying pool</t>
  </si>
  <si>
    <t xml:space="preserve">Member shares </t>
  </si>
  <si>
    <t>Buying Pool</t>
  </si>
  <si>
    <t>Buying Pool Total</t>
  </si>
  <si>
    <t>IFLS</t>
  </si>
  <si>
    <t>IFLS Library System</t>
  </si>
  <si>
    <t>2022 budget</t>
  </si>
  <si>
    <t>Population*</t>
  </si>
  <si>
    <t>2022 sources/information</t>
  </si>
  <si>
    <t>Transparent Languages</t>
  </si>
  <si>
    <t>Program management**</t>
  </si>
  <si>
    <t>Magazine amount</t>
  </si>
  <si>
    <t>Population</t>
  </si>
  <si>
    <t>Total Magazine Cost</t>
  </si>
  <si>
    <t>2022 Magazine Costs - using buying pool formula (25% population and 75% usage)</t>
  </si>
  <si>
    <t>Magazine Cost</t>
  </si>
  <si>
    <t>Magazine Costs</t>
  </si>
  <si>
    <t>j.</t>
  </si>
  <si>
    <t>k.</t>
  </si>
  <si>
    <t>KEY</t>
  </si>
  <si>
    <t>2023 budget</t>
  </si>
  <si>
    <t>Magazine Share</t>
  </si>
  <si>
    <t>Reserve*</t>
  </si>
  <si>
    <t>Magazine Costs***</t>
  </si>
  <si>
    <t xml:space="preserve">*** Magazine income for 2022 was $100,000 but expense was only $80,000. Rolling over the extra $20,000 into 2023 budget line for a total of $100,000 to match expense. </t>
  </si>
  <si>
    <t>2023 sources/information</t>
  </si>
  <si>
    <t>2023 Member Shares</t>
  </si>
  <si>
    <t>2022 Member Shares</t>
  </si>
  <si>
    <t>Nicolet 2021 circulation: 419,225</t>
  </si>
  <si>
    <t>OWLS 2021 circulation: 224850</t>
  </si>
  <si>
    <t>Total circulations: 644,075</t>
  </si>
  <si>
    <t>Percentage of Nicolet circulation: 65.1%</t>
  </si>
  <si>
    <t>Percentage of OWLS circulation: 34.9%</t>
  </si>
  <si>
    <t>Total holds: 357,838</t>
  </si>
  <si>
    <t>65.1% (for Nicolet) of holds: 232,915</t>
  </si>
  <si>
    <t>34.9% (for OWLS) of holds: 124,923</t>
  </si>
  <si>
    <t>*We do not assume any carryover in our budget. As of 2/28/2022, there is $49,000 in R&amp;D and $44,603.27 in Reserve.</t>
  </si>
  <si>
    <t>**In 2021, the Budget Committee recommended an increase of $10,750 for Project management, split over two years totaling an increase of $5,375 in 2022 and in 2023.</t>
  </si>
  <si>
    <t>ContentDM Hosting****</t>
  </si>
  <si>
    <t>****CONTENTdm hosting will be paid for by Milwaukee Public Library for 2023</t>
  </si>
  <si>
    <t xml:space="preserve">*Extended county population from DPI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</si>
</sst>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ill="1"/>
    <xf numFmtId="0" fontId="0" fillId="0" borderId="0" xfId="0"/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Alignment="1">
      <alignment wrapText="1"/>
    </xf>
    <xf numFmtId="165" fontId="14" fillId="0" borderId="0" xfId="5" applyNumberFormat="1" applyFont="1" applyFill="1"/>
    <xf numFmtId="0" fontId="17" fillId="0" borderId="0" xfId="0" applyFont="1"/>
    <xf numFmtId="44" fontId="0" fillId="0" borderId="0" xfId="0" applyNumberFormat="1"/>
    <xf numFmtId="3" fontId="13" fillId="0" borderId="0" xfId="3" quotePrefix="1" applyNumberFormat="1" applyFont="1" applyFill="1" applyAlignment="1">
      <alignment horizontal="right"/>
    </xf>
    <xf numFmtId="44" fontId="17" fillId="0" borderId="0" xfId="0" applyNumberFormat="1" applyFont="1"/>
    <xf numFmtId="165" fontId="0" fillId="0" borderId="0" xfId="0" applyNumberFormat="1"/>
    <xf numFmtId="165" fontId="14" fillId="2" borderId="0" xfId="5" applyNumberFormat="1" applyFont="1" applyFill="1"/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0" xfId="0" applyFont="1" applyBorder="1"/>
    <xf numFmtId="0" fontId="0" fillId="0" borderId="2" xfId="0" applyBorder="1" applyAlignment="1">
      <alignment wrapText="1"/>
    </xf>
    <xf numFmtId="165" fontId="0" fillId="4" borderId="0" xfId="0" applyNumberFormat="1" applyFill="1" applyBorder="1"/>
    <xf numFmtId="3" fontId="0" fillId="0" borderId="0" xfId="0" applyNumberFormat="1" applyBorder="1"/>
    <xf numFmtId="0" fontId="12" fillId="0" borderId="2" xfId="8" applyFont="1" applyBorder="1" applyAlignment="1" applyProtection="1">
      <alignment wrapText="1"/>
    </xf>
    <xf numFmtId="3" fontId="0" fillId="0" borderId="0" xfId="0" applyNumberFormat="1" applyFill="1" applyBorder="1"/>
    <xf numFmtId="0" fontId="12" fillId="0" borderId="3" xfId="8" applyFont="1" applyBorder="1" applyAlignment="1" applyProtection="1">
      <alignment wrapText="1"/>
    </xf>
    <xf numFmtId="0" fontId="0" fillId="0" borderId="0" xfId="0" applyBorder="1"/>
    <xf numFmtId="44" fontId="0" fillId="0" borderId="0" xfId="0" applyNumberFormat="1" applyBorder="1"/>
    <xf numFmtId="167" fontId="14" fillId="0" borderId="0" xfId="1" applyNumberFormat="1" applyFont="1" applyBorder="1"/>
    <xf numFmtId="168" fontId="14" fillId="0" borderId="0" xfId="11" applyNumberFormat="1" applyFont="1" applyBorder="1"/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8" fontId="14" fillId="0" borderId="0" xfId="13" applyNumberFormat="1" applyFont="1" applyBorder="1"/>
    <xf numFmtId="0" fontId="12" fillId="0" borderId="0" xfId="8" applyFont="1" applyBorder="1" applyAlignment="1" applyProtection="1">
      <alignment wrapText="1"/>
    </xf>
    <xf numFmtId="0" fontId="17" fillId="0" borderId="0" xfId="0" applyFont="1" applyBorder="1" applyAlignment="1">
      <alignment wrapText="1"/>
    </xf>
    <xf numFmtId="168" fontId="0" fillId="0" borderId="0" xfId="0" applyNumberFormat="1" applyBorder="1"/>
    <xf numFmtId="168" fontId="14" fillId="2" borderId="0" xfId="11" applyNumberFormat="1" applyFont="1" applyFill="1" applyBorder="1"/>
    <xf numFmtId="0" fontId="0" fillId="4" borderId="4" xfId="0" applyFill="1" applyBorder="1" applyAlignment="1">
      <alignment wrapText="1"/>
    </xf>
    <xf numFmtId="168" fontId="14" fillId="4" borderId="0" xfId="11" applyNumberFormat="1" applyFont="1" applyFill="1" applyBorder="1"/>
    <xf numFmtId="165" fontId="14" fillId="0" borderId="0" xfId="4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14" fillId="4" borderId="0" xfId="4" applyNumberFormat="1" applyFont="1" applyFill="1"/>
    <xf numFmtId="165" fontId="14" fillId="2" borderId="0" xfId="4" applyNumberFormat="1" applyFont="1" applyFill="1" applyBorder="1"/>
    <xf numFmtId="0" fontId="0" fillId="2" borderId="9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6" fontId="0" fillId="0" borderId="0" xfId="0" applyNumberFormat="1" applyBorder="1"/>
    <xf numFmtId="167" fontId="14" fillId="0" borderId="0" xfId="2" applyNumberFormat="1" applyFont="1" applyBorder="1"/>
    <xf numFmtId="165" fontId="0" fillId="3" borderId="0" xfId="0" applyNumberFormat="1" applyFill="1" applyBorder="1"/>
    <xf numFmtId="10" fontId="22" fillId="0" borderId="0" xfId="0" applyNumberFormat="1" applyFont="1" applyBorder="1"/>
    <xf numFmtId="44" fontId="0" fillId="3" borderId="0" xfId="0" applyNumberFormat="1" applyFill="1" applyBorder="1"/>
    <xf numFmtId="44" fontId="22" fillId="0" borderId="0" xfId="0" applyNumberFormat="1" applyFont="1" applyFill="1" applyBorder="1"/>
    <xf numFmtId="9" fontId="14" fillId="0" borderId="0" xfId="11" applyFont="1" applyBorder="1"/>
    <xf numFmtId="0" fontId="17" fillId="0" borderId="1" xfId="0" applyFont="1" applyBorder="1"/>
    <xf numFmtId="165" fontId="17" fillId="0" borderId="1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2" fillId="0" borderId="1" xfId="0" applyFont="1" applyBorder="1"/>
    <xf numFmtId="0" fontId="20" fillId="0" borderId="0" xfId="0" applyFont="1" applyBorder="1" applyAlignment="1">
      <alignment horizontal="center"/>
    </xf>
    <xf numFmtId="9" fontId="14" fillId="0" borderId="0" xfId="10" applyFont="1"/>
    <xf numFmtId="9" fontId="14" fillId="0" borderId="0" xfId="10" applyFont="1" applyBorder="1"/>
    <xf numFmtId="165" fontId="22" fillId="0" borderId="0" xfId="10" applyNumberFormat="1" applyFont="1" applyBorder="1"/>
    <xf numFmtId="165" fontId="0" fillId="0" borderId="0" xfId="0" applyNumberFormat="1" applyBorder="1"/>
    <xf numFmtId="0" fontId="0" fillId="0" borderId="3" xfId="0" applyBorder="1"/>
    <xf numFmtId="0" fontId="0" fillId="0" borderId="2" xfId="0" applyBorder="1"/>
    <xf numFmtId="0" fontId="17" fillId="0" borderId="0" xfId="0" applyFont="1" applyFill="1" applyBorder="1"/>
    <xf numFmtId="0" fontId="0" fillId="0" borderId="1" xfId="0" applyBorder="1"/>
    <xf numFmtId="0" fontId="17" fillId="0" borderId="0" xfId="0" applyFont="1" applyAlignment="1">
      <alignment horizontal="left"/>
    </xf>
    <xf numFmtId="0" fontId="17" fillId="4" borderId="0" xfId="0" applyFont="1" applyFill="1"/>
    <xf numFmtId="165" fontId="14" fillId="4" borderId="0" xfId="5" applyNumberFormat="1" applyFont="1" applyFill="1"/>
    <xf numFmtId="168" fontId="14" fillId="0" borderId="0" xfId="10" applyNumberFormat="1" applyFont="1" applyFill="1" applyBorder="1"/>
    <xf numFmtId="168" fontId="14" fillId="0" borderId="0" xfId="13" applyNumberFormat="1" applyFont="1" applyFill="1" applyBorder="1"/>
    <xf numFmtId="165" fontId="14" fillId="4" borderId="0" xfId="4" applyNumberFormat="1" applyFont="1" applyFill="1" applyBorder="1"/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6" fontId="0" fillId="0" borderId="0" xfId="0" applyNumberFormat="1" applyFill="1"/>
    <xf numFmtId="166" fontId="0" fillId="0" borderId="0" xfId="0" applyNumberFormat="1" applyFill="1" applyAlignment="1">
      <alignment wrapText="1"/>
    </xf>
    <xf numFmtId="166" fontId="4" fillId="0" borderId="0" xfId="0" applyNumberFormat="1" applyFont="1" applyFill="1" applyAlignment="1">
      <alignment wrapText="1"/>
    </xf>
    <xf numFmtId="166" fontId="14" fillId="0" borderId="0" xfId="4" applyNumberFormat="1" applyFont="1" applyFill="1" applyAlignment="1">
      <alignment wrapText="1"/>
    </xf>
    <xf numFmtId="166" fontId="0" fillId="0" borderId="0" xfId="0" applyNumberFormat="1" applyFont="1" applyFill="1"/>
    <xf numFmtId="166" fontId="14" fillId="0" borderId="0" xfId="4" applyNumberFormat="1" applyFont="1" applyFill="1" applyAlignment="1">
      <alignment horizontal="right" wrapText="1"/>
    </xf>
    <xf numFmtId="166" fontId="0" fillId="0" borderId="0" xfId="0" applyNumberFormat="1" applyFont="1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/>
    <xf numFmtId="0" fontId="17" fillId="2" borderId="0" xfId="0" applyFont="1" applyFill="1"/>
    <xf numFmtId="44" fontId="17" fillId="2" borderId="0" xfId="5" applyNumberFormat="1" applyFont="1" applyFill="1"/>
    <xf numFmtId="167" fontId="14" fillId="0" borderId="0" xfId="2" applyNumberFormat="1" applyFont="1" applyFill="1" applyBorder="1"/>
    <xf numFmtId="165" fontId="17" fillId="4" borderId="0" xfId="5" applyNumberFormat="1" applyFont="1" applyFill="1"/>
    <xf numFmtId="0" fontId="10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0" xfId="0" applyFont="1" applyBorder="1"/>
    <xf numFmtId="6" fontId="4" fillId="0" borderId="0" xfId="0" applyNumberFormat="1" applyFont="1" applyBorder="1"/>
    <xf numFmtId="0" fontId="6" fillId="0" borderId="0" xfId="0" applyFont="1" applyBorder="1"/>
    <xf numFmtId="44" fontId="7" fillId="0" borderId="0" xfId="4" applyFont="1" applyBorder="1"/>
    <xf numFmtId="6" fontId="9" fillId="0" borderId="0" xfId="4" applyNumberFormat="1" applyFont="1" applyBorder="1"/>
    <xf numFmtId="164" fontId="7" fillId="0" borderId="0" xfId="4" applyNumberFormat="1" applyFon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166" fontId="6" fillId="0" borderId="0" xfId="0" applyNumberFormat="1" applyFont="1" applyBorder="1"/>
    <xf numFmtId="10" fontId="7" fillId="0" borderId="0" xfId="4" applyNumberFormat="1" applyFont="1" applyBorder="1"/>
    <xf numFmtId="164" fontId="1" fillId="0" borderId="0" xfId="4" applyNumberFormat="1" applyFont="1" applyBorder="1"/>
    <xf numFmtId="165" fontId="17" fillId="0" borderId="0" xfId="6" applyNumberFormat="1" applyFont="1" applyFill="1" applyBorder="1"/>
    <xf numFmtId="0" fontId="21" fillId="0" borderId="0" xfId="0" applyFont="1" applyBorder="1"/>
    <xf numFmtId="6" fontId="0" fillId="0" borderId="0" xfId="0" applyNumberFormat="1"/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17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vertical="top"/>
    </xf>
    <xf numFmtId="165" fontId="0" fillId="4" borderId="0" xfId="0" applyNumberFormat="1" applyFill="1"/>
    <xf numFmtId="165" fontId="22" fillId="0" borderId="0" xfId="13" applyNumberFormat="1" applyFont="1" applyBorder="1"/>
    <xf numFmtId="10" fontId="22" fillId="0" borderId="0" xfId="0" applyNumberFormat="1" applyFont="1"/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165" fontId="0" fillId="0" borderId="0" xfId="0" applyNumberFormat="1" applyFill="1"/>
    <xf numFmtId="165" fontId="14" fillId="0" borderId="0" xfId="6" applyNumberFormat="1" applyFont="1" applyFill="1" applyBorder="1"/>
    <xf numFmtId="44" fontId="0" fillId="0" borderId="0" xfId="0" applyNumberFormat="1" applyFill="1"/>
    <xf numFmtId="44" fontId="22" fillId="0" borderId="0" xfId="0" applyNumberFormat="1" applyFont="1" applyFill="1"/>
    <xf numFmtId="0" fontId="0" fillId="0" borderId="0" xfId="0" applyAlignment="1"/>
    <xf numFmtId="0" fontId="0" fillId="0" borderId="5" xfId="0" applyBorder="1" applyAlignment="1"/>
    <xf numFmtId="0" fontId="0" fillId="0" borderId="0" xfId="0" applyBorder="1" applyAlignment="1"/>
    <xf numFmtId="0" fontId="17" fillId="0" borderId="0" xfId="0" applyFont="1" applyAlignment="1"/>
    <xf numFmtId="0" fontId="0" fillId="0" borderId="0" xfId="0" applyFill="1" applyBorder="1" applyAlignment="1"/>
    <xf numFmtId="0" fontId="20" fillId="0" borderId="1" xfId="0" applyFont="1" applyBorder="1" applyAlignment="1"/>
    <xf numFmtId="0" fontId="0" fillId="0" borderId="1" xfId="0" applyBorder="1" applyAlignment="1"/>
    <xf numFmtId="0" fontId="17" fillId="0" borderId="1" xfId="0" applyFont="1" applyBorder="1" applyAlignment="1"/>
    <xf numFmtId="0" fontId="17" fillId="0" borderId="0" xfId="0" applyFont="1" applyFill="1" applyBorder="1" applyAlignment="1"/>
    <xf numFmtId="0" fontId="0" fillId="0" borderId="2" xfId="0" applyBorder="1" applyAlignment="1"/>
    <xf numFmtId="165" fontId="14" fillId="4" borderId="0" xfId="4" applyNumberFormat="1" applyFont="1" applyFill="1" applyBorder="1" applyAlignment="1"/>
    <xf numFmtId="165" fontId="14" fillId="4" borderId="0" xfId="5" applyNumberFormat="1" applyFont="1" applyFill="1" applyAlignment="1"/>
    <xf numFmtId="165" fontId="14" fillId="2" borderId="0" xfId="4" applyNumberFormat="1" applyFont="1" applyFill="1" applyBorder="1" applyAlignment="1"/>
    <xf numFmtId="165" fontId="14" fillId="2" borderId="0" xfId="5" applyNumberFormat="1" applyFont="1" applyFill="1" applyAlignment="1"/>
    <xf numFmtId="165" fontId="0" fillId="0" borderId="0" xfId="0" applyNumberFormat="1" applyAlignment="1"/>
    <xf numFmtId="0" fontId="12" fillId="0" borderId="2" xfId="8" applyFont="1" applyBorder="1" applyAlignment="1" applyProtection="1"/>
    <xf numFmtId="0" fontId="12" fillId="0" borderId="3" xfId="8" applyFont="1" applyBorder="1" applyAlignment="1" applyProtection="1"/>
    <xf numFmtId="0" fontId="0" fillId="0" borderId="3" xfId="0" applyBorder="1" applyAlignment="1"/>
    <xf numFmtId="165" fontId="0" fillId="0" borderId="0" xfId="0" applyNumberFormat="1" applyBorder="1" applyAlignment="1"/>
    <xf numFmtId="0" fontId="0" fillId="4" borderId="5" xfId="0" applyFill="1" applyBorder="1" applyAlignment="1"/>
    <xf numFmtId="0" fontId="17" fillId="0" borderId="7" xfId="0" applyFont="1" applyBorder="1" applyAlignment="1"/>
    <xf numFmtId="0" fontId="0" fillId="2" borderId="7" xfId="0" applyFill="1" applyBorder="1" applyAlignment="1"/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165" fontId="17" fillId="2" borderId="0" xfId="5" applyNumberFormat="1" applyFont="1" applyFill="1"/>
    <xf numFmtId="168" fontId="14" fillId="4" borderId="0" xfId="13" applyNumberFormat="1" applyFont="1" applyFill="1" applyBorder="1"/>
    <xf numFmtId="0" fontId="0" fillId="4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25" fillId="0" borderId="10" xfId="0" applyFont="1" applyBorder="1"/>
    <xf numFmtId="165" fontId="25" fillId="0" borderId="10" xfId="0" applyNumberFormat="1" applyFont="1" applyBorder="1"/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/>
    <xf numFmtId="0" fontId="21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Font="1" applyFill="1" applyBorder="1"/>
    <xf numFmtId="0" fontId="0" fillId="0" borderId="0" xfId="0" applyFill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/>
    </xf>
    <xf numFmtId="0" fontId="21" fillId="0" borderId="0" xfId="0" applyFont="1" applyBorder="1" applyAlignment="1">
      <alignment wrapText="1"/>
    </xf>
  </cellXfs>
  <cellStyles count="14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Currency 4" xfId="7" xr:uid="{00000000-0005-0000-0000-000006000000}"/>
    <cellStyle name="Hyperlink" xfId="8" builtinId="8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3" xfId="12" xr:uid="{00000000-0005-0000-0000-00000C000000}"/>
    <cellStyle name="Percent 4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view="pageLayout" topLeftCell="A4" zoomScaleNormal="100" workbookViewId="0">
      <selection activeCell="C32" sqref="C32:D32"/>
    </sheetView>
  </sheetViews>
  <sheetFormatPr defaultRowHeight="14.4" x14ac:dyDescent="0.3"/>
  <cols>
    <col min="1" max="1" width="3.6640625" bestFit="1" customWidth="1"/>
    <col min="2" max="2" width="50.33203125" style="1" customWidth="1"/>
    <col min="3" max="3" width="22.44140625" style="1" customWidth="1"/>
    <col min="4" max="4" width="20.6640625" style="1" customWidth="1"/>
    <col min="5" max="5" width="15.5546875" style="33" bestFit="1" customWidth="1"/>
    <col min="6" max="6" width="14" style="33" bestFit="1" customWidth="1"/>
    <col min="7" max="7" width="13.33203125" style="33" bestFit="1" customWidth="1"/>
    <col min="8" max="9" width="13.33203125" style="33" customWidth="1"/>
    <col min="10" max="10" width="54.6640625" style="1" customWidth="1"/>
  </cols>
  <sheetData>
    <row r="1" spans="1:10" x14ac:dyDescent="0.3">
      <c r="C1" s="9"/>
      <c r="D1" s="9"/>
    </row>
    <row r="2" spans="1:10" ht="18" x14ac:dyDescent="0.35">
      <c r="C2" s="87" t="s">
        <v>106</v>
      </c>
      <c r="D2" s="87" t="s">
        <v>92</v>
      </c>
      <c r="E2" s="79"/>
      <c r="F2" s="58"/>
    </row>
    <row r="3" spans="1:10" ht="18" x14ac:dyDescent="0.35">
      <c r="C3" s="88"/>
      <c r="D3" s="88"/>
      <c r="E3" s="103"/>
      <c r="F3" s="103"/>
      <c r="H3" s="104"/>
      <c r="I3" s="104"/>
    </row>
    <row r="4" spans="1:10" ht="15.6" x14ac:dyDescent="0.3">
      <c r="C4" s="89"/>
      <c r="D4" s="89"/>
      <c r="E4" s="105"/>
      <c r="F4" s="105"/>
      <c r="G4" s="105"/>
      <c r="H4" s="106"/>
      <c r="I4" s="107"/>
      <c r="J4" s="3"/>
    </row>
    <row r="5" spans="1:10" ht="18" x14ac:dyDescent="0.35">
      <c r="B5" s="11" t="s">
        <v>0</v>
      </c>
      <c r="C5" s="9"/>
      <c r="D5" s="9"/>
      <c r="F5" s="108"/>
      <c r="G5" s="108"/>
      <c r="H5" s="109"/>
      <c r="I5" s="108"/>
    </row>
    <row r="6" spans="1:10" ht="19.5" customHeight="1" x14ac:dyDescent="0.3">
      <c r="A6" t="s">
        <v>11</v>
      </c>
      <c r="B6" s="1" t="s">
        <v>19</v>
      </c>
      <c r="C6" s="91">
        <v>0</v>
      </c>
      <c r="D6" s="91">
        <v>0</v>
      </c>
      <c r="E6" s="110"/>
      <c r="F6" s="110"/>
      <c r="G6" s="110"/>
      <c r="H6" s="110"/>
      <c r="I6" s="110"/>
    </row>
    <row r="7" spans="1:10" ht="17.25" customHeight="1" x14ac:dyDescent="0.3">
      <c r="A7" t="s">
        <v>7</v>
      </c>
      <c r="B7" s="1" t="s">
        <v>1</v>
      </c>
      <c r="C7" s="90">
        <f>SUM(C17:C18,C22:C24,C27:C29)</f>
        <v>111250</v>
      </c>
      <c r="D7" s="90">
        <f>SUM(D17:D18,D22:D24,D27:D29)</f>
        <v>105375</v>
      </c>
      <c r="E7" s="110"/>
      <c r="F7" s="110"/>
      <c r="G7" s="110"/>
      <c r="H7" s="110"/>
      <c r="I7" s="110"/>
    </row>
    <row r="8" spans="1:10" x14ac:dyDescent="0.3">
      <c r="A8" t="s">
        <v>8</v>
      </c>
      <c r="B8" s="1" t="s">
        <v>18</v>
      </c>
      <c r="C8" s="91">
        <v>1407666</v>
      </c>
      <c r="D8" s="91">
        <v>1340944</v>
      </c>
      <c r="E8" s="110"/>
      <c r="F8" s="110"/>
      <c r="G8" s="110"/>
      <c r="H8" s="110"/>
      <c r="I8" s="110"/>
    </row>
    <row r="9" spans="1:10" s="8" customFormat="1" x14ac:dyDescent="0.3">
      <c r="A9" s="8" t="s">
        <v>9</v>
      </c>
      <c r="B9" s="1" t="s">
        <v>102</v>
      </c>
      <c r="C9" s="91">
        <v>80000</v>
      </c>
      <c r="D9" s="91">
        <v>100000</v>
      </c>
      <c r="E9" s="110"/>
      <c r="F9" s="110"/>
      <c r="G9" s="110"/>
      <c r="H9" s="110"/>
      <c r="I9" s="110"/>
      <c r="J9" s="1"/>
    </row>
    <row r="10" spans="1:10" s="8" customFormat="1" x14ac:dyDescent="0.3">
      <c r="A10" s="8" t="s">
        <v>12</v>
      </c>
      <c r="B10" s="1" t="s">
        <v>95</v>
      </c>
      <c r="C10" s="91">
        <v>0</v>
      </c>
      <c r="D10" s="91">
        <v>24000</v>
      </c>
      <c r="E10" s="110"/>
      <c r="F10" s="110"/>
      <c r="G10" s="110"/>
      <c r="H10" s="110"/>
      <c r="I10" s="110"/>
      <c r="J10" s="1"/>
    </row>
    <row r="11" spans="1:10" ht="19.5" customHeight="1" x14ac:dyDescent="0.3">
      <c r="A11" t="s">
        <v>13</v>
      </c>
      <c r="B11" s="1" t="s">
        <v>2</v>
      </c>
      <c r="C11" s="91">
        <v>0</v>
      </c>
      <c r="D11" s="91">
        <v>0</v>
      </c>
      <c r="E11" s="110"/>
      <c r="F11" s="110"/>
      <c r="G11" s="110"/>
      <c r="H11" s="110"/>
      <c r="I11" s="110"/>
    </row>
    <row r="12" spans="1:10" x14ac:dyDescent="0.3">
      <c r="B12" s="4" t="s">
        <v>5</v>
      </c>
      <c r="C12" s="90">
        <f>SUM(C6:C11)</f>
        <v>1598916</v>
      </c>
      <c r="D12" s="90">
        <f>SUM(D6:D11)</f>
        <v>1570319</v>
      </c>
      <c r="E12" s="110"/>
      <c r="F12" s="110"/>
      <c r="G12" s="110"/>
      <c r="H12" s="110"/>
      <c r="I12" s="110"/>
    </row>
    <row r="13" spans="1:10" ht="18" customHeight="1" x14ac:dyDescent="0.3">
      <c r="C13" s="91"/>
      <c r="D13" s="91"/>
      <c r="E13" s="111"/>
      <c r="F13" s="111"/>
      <c r="G13" s="111"/>
      <c r="H13" s="111"/>
      <c r="I13" s="111"/>
    </row>
    <row r="14" spans="1:10" ht="18" x14ac:dyDescent="0.35">
      <c r="A14" s="2"/>
      <c r="B14" s="11" t="s">
        <v>3</v>
      </c>
      <c r="C14" s="92"/>
      <c r="D14" s="92"/>
    </row>
    <row r="15" spans="1:10" s="8" customFormat="1" ht="15.6" x14ac:dyDescent="0.3">
      <c r="A15" s="2"/>
      <c r="B15" s="3"/>
      <c r="C15" s="92"/>
      <c r="D15" s="92"/>
      <c r="E15" s="33"/>
      <c r="F15" s="33"/>
      <c r="G15" s="33"/>
      <c r="H15" s="33"/>
      <c r="I15" s="33"/>
      <c r="J15" s="1"/>
    </row>
    <row r="16" spans="1:10" s="2" customFormat="1" ht="15.6" x14ac:dyDescent="0.3">
      <c r="B16" s="10" t="s">
        <v>23</v>
      </c>
      <c r="C16" s="92"/>
      <c r="D16" s="92"/>
      <c r="E16" s="105"/>
      <c r="F16" s="105"/>
      <c r="G16" s="112"/>
      <c r="H16" s="112"/>
      <c r="I16" s="105"/>
      <c r="J16" s="3"/>
    </row>
    <row r="17" spans="1:10" x14ac:dyDescent="0.3">
      <c r="A17" t="s">
        <v>11</v>
      </c>
      <c r="B17" s="1" t="s">
        <v>96</v>
      </c>
      <c r="C17" s="93">
        <v>74250</v>
      </c>
      <c r="D17" s="93">
        <v>68875</v>
      </c>
      <c r="E17" s="110"/>
      <c r="F17" s="110"/>
      <c r="G17" s="114"/>
      <c r="H17" s="114"/>
      <c r="I17" s="114"/>
    </row>
    <row r="18" spans="1:10" ht="15" customHeight="1" x14ac:dyDescent="0.3">
      <c r="A18" t="s">
        <v>7</v>
      </c>
      <c r="B18" s="1" t="s">
        <v>10</v>
      </c>
      <c r="C18" s="93">
        <v>18000</v>
      </c>
      <c r="D18" s="93">
        <v>18000</v>
      </c>
      <c r="E18" s="110"/>
      <c r="F18" s="110"/>
      <c r="G18" s="114"/>
      <c r="H18" s="114"/>
      <c r="I18" s="114"/>
    </row>
    <row r="19" spans="1:10" s="8" customFormat="1" x14ac:dyDescent="0.3">
      <c r="A19" s="8" t="s">
        <v>8</v>
      </c>
      <c r="B19" s="1" t="s">
        <v>21</v>
      </c>
      <c r="C19" s="91">
        <v>1407666</v>
      </c>
      <c r="D19" s="91">
        <v>1340944</v>
      </c>
      <c r="E19" s="110"/>
      <c r="F19" s="110"/>
      <c r="G19" s="114"/>
      <c r="H19" s="114"/>
      <c r="I19" s="114"/>
      <c r="J19" s="1"/>
    </row>
    <row r="20" spans="1:10" s="8" customFormat="1" x14ac:dyDescent="0.3">
      <c r="A20" s="8" t="s">
        <v>9</v>
      </c>
      <c r="B20" s="1" t="s">
        <v>109</v>
      </c>
      <c r="C20" s="91">
        <v>100000</v>
      </c>
      <c r="D20" s="91">
        <v>100000</v>
      </c>
      <c r="E20" s="110"/>
      <c r="F20" s="110"/>
      <c r="G20" s="114"/>
      <c r="H20" s="114"/>
      <c r="I20" s="114"/>
      <c r="J20" s="1"/>
    </row>
    <row r="21" spans="1:10" s="8" customFormat="1" x14ac:dyDescent="0.3">
      <c r="A21" s="8" t="s">
        <v>12</v>
      </c>
      <c r="B21" s="1" t="s">
        <v>95</v>
      </c>
      <c r="C21" s="91">
        <v>0</v>
      </c>
      <c r="D21" s="91">
        <v>24000</v>
      </c>
      <c r="E21" s="110"/>
      <c r="F21" s="110"/>
      <c r="G21" s="114"/>
      <c r="H21" s="114"/>
      <c r="I21" s="114"/>
      <c r="J21" s="1"/>
    </row>
    <row r="22" spans="1:10" s="8" customFormat="1" x14ac:dyDescent="0.3">
      <c r="A22" s="8" t="s">
        <v>13</v>
      </c>
      <c r="B22" s="1" t="s">
        <v>17</v>
      </c>
      <c r="C22" s="94">
        <v>3000</v>
      </c>
      <c r="D22" s="94">
        <v>2500</v>
      </c>
      <c r="E22" s="110"/>
      <c r="F22" s="110"/>
      <c r="G22" s="114"/>
      <c r="H22" s="114"/>
      <c r="I22" s="114"/>
      <c r="J22" s="1"/>
    </row>
    <row r="23" spans="1:10" s="8" customFormat="1" x14ac:dyDescent="0.3">
      <c r="A23" s="8" t="s">
        <v>14</v>
      </c>
      <c r="B23" s="9" t="s">
        <v>124</v>
      </c>
      <c r="C23" s="94">
        <v>0</v>
      </c>
      <c r="D23" s="94">
        <v>0</v>
      </c>
      <c r="E23" s="110"/>
      <c r="F23" s="110"/>
      <c r="G23" s="114"/>
      <c r="H23" s="114"/>
      <c r="I23" s="114"/>
      <c r="J23" s="1"/>
    </row>
    <row r="24" spans="1:10" s="2" customFormat="1" ht="15.6" x14ac:dyDescent="0.3">
      <c r="A24" t="s">
        <v>15</v>
      </c>
      <c r="B24" s="1" t="s">
        <v>4</v>
      </c>
      <c r="C24" s="93">
        <v>1000</v>
      </c>
      <c r="D24" s="93">
        <v>1000</v>
      </c>
      <c r="E24" s="113"/>
      <c r="F24" s="105"/>
      <c r="G24" s="112"/>
      <c r="H24" s="112"/>
      <c r="I24" s="105"/>
      <c r="J24" s="3"/>
    </row>
    <row r="25" spans="1:10" s="8" customFormat="1" x14ac:dyDescent="0.3">
      <c r="B25" s="9"/>
      <c r="C25" s="94"/>
      <c r="D25" s="94"/>
      <c r="E25" s="110"/>
      <c r="F25" s="110"/>
      <c r="G25" s="114"/>
      <c r="H25" s="114"/>
      <c r="I25" s="114"/>
      <c r="J25" s="1"/>
    </row>
    <row r="26" spans="1:10" s="8" customFormat="1" x14ac:dyDescent="0.3">
      <c r="B26" s="10" t="s">
        <v>22</v>
      </c>
      <c r="C26" s="94"/>
      <c r="D26" s="94"/>
      <c r="E26" s="110"/>
      <c r="F26" s="110"/>
      <c r="G26" s="114"/>
      <c r="H26" s="114"/>
      <c r="I26" s="114"/>
      <c r="J26" s="1"/>
    </row>
    <row r="27" spans="1:10" x14ac:dyDescent="0.3">
      <c r="A27" t="s">
        <v>16</v>
      </c>
      <c r="B27" s="9" t="s">
        <v>20</v>
      </c>
      <c r="C27" s="93">
        <v>10000</v>
      </c>
      <c r="D27" s="93">
        <v>5000</v>
      </c>
      <c r="E27" s="110"/>
      <c r="F27" s="110"/>
      <c r="G27" s="114"/>
      <c r="H27" s="114"/>
      <c r="I27" s="114"/>
    </row>
    <row r="28" spans="1:10" ht="18" customHeight="1" x14ac:dyDescent="0.3">
      <c r="A28" s="8" t="s">
        <v>103</v>
      </c>
      <c r="B28" s="9" t="s">
        <v>108</v>
      </c>
      <c r="C28" s="95">
        <v>5000</v>
      </c>
      <c r="D28" s="95">
        <v>10000</v>
      </c>
      <c r="E28" s="110"/>
      <c r="F28" s="110"/>
      <c r="G28" s="114"/>
      <c r="H28" s="114"/>
      <c r="I28" s="114"/>
    </row>
    <row r="29" spans="1:10" s="8" customFormat="1" ht="18" customHeight="1" x14ac:dyDescent="0.3">
      <c r="A29" t="s">
        <v>104</v>
      </c>
      <c r="B29" s="1" t="s">
        <v>6</v>
      </c>
      <c r="C29" s="96">
        <v>0</v>
      </c>
      <c r="D29" s="96">
        <v>0</v>
      </c>
      <c r="E29" s="110"/>
      <c r="F29" s="110"/>
      <c r="G29" s="114"/>
      <c r="H29" s="114"/>
      <c r="I29" s="114"/>
      <c r="J29" s="1"/>
    </row>
    <row r="30" spans="1:10" ht="18" customHeight="1" x14ac:dyDescent="0.3">
      <c r="B30" s="5" t="s">
        <v>5</v>
      </c>
      <c r="C30" s="90">
        <f>SUM(C17:C29)</f>
        <v>1618916</v>
      </c>
      <c r="D30" s="90">
        <f>SUM(D17:D29)</f>
        <v>1570319</v>
      </c>
      <c r="E30" s="110"/>
      <c r="F30" s="110"/>
      <c r="G30" s="114"/>
      <c r="H30" s="114"/>
      <c r="I30" s="114"/>
    </row>
    <row r="31" spans="1:10" ht="18" customHeight="1" x14ac:dyDescent="0.3">
      <c r="C31" s="97"/>
      <c r="D31" s="97"/>
      <c r="E31" s="110"/>
      <c r="F31" s="110"/>
      <c r="G31" s="114"/>
      <c r="H31" s="114"/>
      <c r="I31" s="114"/>
    </row>
    <row r="32" spans="1:10" s="8" customFormat="1" ht="46.2" customHeight="1" x14ac:dyDescent="0.3">
      <c r="B32" s="164" t="s">
        <v>122</v>
      </c>
      <c r="C32" s="174" t="s">
        <v>125</v>
      </c>
      <c r="D32" s="174"/>
      <c r="E32" s="115"/>
      <c r="F32" s="110"/>
      <c r="G32" s="114"/>
      <c r="H32" s="114"/>
      <c r="I32" s="114"/>
      <c r="J32" s="1"/>
    </row>
    <row r="33" spans="2:10" ht="61.95" customHeight="1" x14ac:dyDescent="0.3">
      <c r="B33" s="1" t="s">
        <v>123</v>
      </c>
      <c r="C33" s="98"/>
      <c r="D33" s="98"/>
      <c r="F33" s="59"/>
    </row>
    <row r="34" spans="2:10" ht="56.4" customHeight="1" x14ac:dyDescent="0.3">
      <c r="B34" s="163" t="s">
        <v>110</v>
      </c>
      <c r="C34" s="165"/>
      <c r="D34" s="98"/>
      <c r="E34" s="111"/>
    </row>
    <row r="43" spans="2:10" ht="15.6" x14ac:dyDescent="0.3">
      <c r="B43" s="3"/>
      <c r="G43"/>
      <c r="H43"/>
      <c r="I43"/>
      <c r="J43"/>
    </row>
    <row r="46" spans="2:10" x14ac:dyDescent="0.3">
      <c r="C46" s="6"/>
      <c r="D46" s="6"/>
      <c r="G46"/>
      <c r="H46"/>
      <c r="I46"/>
      <c r="J46"/>
    </row>
    <row r="47" spans="2:10" x14ac:dyDescent="0.3">
      <c r="C47" s="6"/>
      <c r="D47" s="6"/>
      <c r="G47"/>
      <c r="H47"/>
      <c r="I47"/>
      <c r="J47"/>
    </row>
    <row r="48" spans="2:10" x14ac:dyDescent="0.3">
      <c r="C48" s="6"/>
      <c r="D48" s="6"/>
      <c r="G48"/>
      <c r="H48"/>
      <c r="I48"/>
      <c r="J48"/>
    </row>
    <row r="49" spans="3:4" customFormat="1" x14ac:dyDescent="0.3">
      <c r="C49" s="6"/>
      <c r="D49" s="6"/>
    </row>
    <row r="50" spans="3:4" customFormat="1" x14ac:dyDescent="0.3">
      <c r="C50" s="6"/>
      <c r="D50" s="6"/>
    </row>
    <row r="51" spans="3:4" customFormat="1" x14ac:dyDescent="0.3">
      <c r="C51" s="6"/>
      <c r="D51" s="6"/>
    </row>
    <row r="52" spans="3:4" customFormat="1" x14ac:dyDescent="0.3">
      <c r="C52" s="6"/>
      <c r="D52" s="6"/>
    </row>
    <row r="53" spans="3:4" customFormat="1" x14ac:dyDescent="0.3">
      <c r="C53" s="6"/>
      <c r="D53" s="6"/>
    </row>
    <row r="54" spans="3:4" customFormat="1" x14ac:dyDescent="0.3">
      <c r="C54" s="6"/>
      <c r="D54" s="6"/>
    </row>
    <row r="55" spans="3:4" customFormat="1" x14ac:dyDescent="0.3">
      <c r="C55" s="6"/>
      <c r="D55" s="6"/>
    </row>
    <row r="56" spans="3:4" customFormat="1" x14ac:dyDescent="0.3">
      <c r="C56" s="6"/>
      <c r="D56" s="6"/>
    </row>
    <row r="57" spans="3:4" customFormat="1" x14ac:dyDescent="0.3">
      <c r="C57" s="6"/>
      <c r="D57" s="6"/>
    </row>
    <row r="58" spans="3:4" customFormat="1" x14ac:dyDescent="0.3">
      <c r="C58" s="6"/>
      <c r="D58" s="6"/>
    </row>
    <row r="59" spans="3:4" customFormat="1" x14ac:dyDescent="0.3">
      <c r="C59" s="6"/>
      <c r="D59" s="6"/>
    </row>
    <row r="60" spans="3:4" customFormat="1" x14ac:dyDescent="0.3">
      <c r="C60" s="6"/>
      <c r="D60" s="6"/>
    </row>
    <row r="61" spans="3:4" customFormat="1" x14ac:dyDescent="0.3">
      <c r="C61" s="6"/>
      <c r="D61" s="6"/>
    </row>
    <row r="62" spans="3:4" customFormat="1" x14ac:dyDescent="0.3">
      <c r="C62" s="6"/>
      <c r="D62" s="6"/>
    </row>
    <row r="64" spans="3:4" customFormat="1" x14ac:dyDescent="0.3">
      <c r="C64" s="6"/>
      <c r="D64" s="6"/>
    </row>
  </sheetData>
  <mergeCells count="1">
    <mergeCell ref="C32:D32"/>
  </mergeCells>
  <phoneticPr fontId="5" type="noConversion"/>
  <printOptions gridLines="1"/>
  <pageMargins left="0.25" right="0.25" top="0.75" bottom="0.75" header="0.3" footer="0.3"/>
  <pageSetup orientation="portrait" r:id="rId1"/>
  <headerFooter>
    <oddHeader xml:space="preserve">&amp;CWPLC Budget 
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="90" zoomScaleNormal="90" workbookViewId="0">
      <selection activeCell="C7" sqref="C7"/>
    </sheetView>
  </sheetViews>
  <sheetFormatPr defaultColWidth="9.33203125" defaultRowHeight="14.4" x14ac:dyDescent="0.3"/>
  <cols>
    <col min="1" max="1" width="55.33203125" style="1" customWidth="1"/>
    <col min="2" max="2" width="0" style="8" hidden="1" customWidth="1"/>
    <col min="3" max="3" width="19" style="8" bestFit="1" customWidth="1"/>
    <col min="4" max="4" width="15.33203125" style="8" customWidth="1"/>
    <col min="5" max="5" width="17.33203125" style="8" customWidth="1"/>
    <col min="6" max="6" width="19" style="8" bestFit="1" customWidth="1"/>
    <col min="7" max="7" width="18.33203125" style="8" customWidth="1"/>
    <col min="8" max="8" width="17.6640625" style="8" customWidth="1"/>
    <col min="9" max="9" width="13.44140625" style="8" customWidth="1"/>
    <col min="10" max="16384" width="9.33203125" style="8"/>
  </cols>
  <sheetData>
    <row r="1" spans="1:9" x14ac:dyDescent="0.3">
      <c r="C1" s="47"/>
      <c r="D1" s="50">
        <v>2022</v>
      </c>
      <c r="E1" s="33"/>
      <c r="F1" s="33"/>
    </row>
    <row r="2" spans="1:9" ht="15" thickBot="1" x14ac:dyDescent="0.35">
      <c r="B2" s="14"/>
      <c r="C2" s="56"/>
      <c r="D2" s="52">
        <v>2021</v>
      </c>
      <c r="E2" s="33"/>
      <c r="F2" s="33"/>
    </row>
    <row r="3" spans="1:9" x14ac:dyDescent="0.3">
      <c r="B3" s="14"/>
      <c r="C3" s="57"/>
      <c r="D3" s="33"/>
      <c r="E3" s="33"/>
    </row>
    <row r="5" spans="1:9" x14ac:dyDescent="0.3">
      <c r="C5" s="81">
        <v>2022</v>
      </c>
      <c r="D5" s="81">
        <v>2022</v>
      </c>
      <c r="E5" s="81">
        <v>2022</v>
      </c>
      <c r="F5" s="81">
        <v>2021</v>
      </c>
      <c r="G5" s="81">
        <v>2021</v>
      </c>
      <c r="H5" s="81">
        <v>2021</v>
      </c>
      <c r="I5" s="14" t="s">
        <v>26</v>
      </c>
    </row>
    <row r="6" spans="1:9" x14ac:dyDescent="0.3">
      <c r="A6" s="24" t="s">
        <v>49</v>
      </c>
      <c r="B6" s="80"/>
      <c r="C6" s="66" t="s">
        <v>86</v>
      </c>
      <c r="D6" s="14" t="s">
        <v>87</v>
      </c>
      <c r="E6" s="14" t="s">
        <v>85</v>
      </c>
      <c r="F6" s="66" t="s">
        <v>86</v>
      </c>
      <c r="G6" s="14" t="s">
        <v>87</v>
      </c>
      <c r="H6" s="14" t="s">
        <v>85</v>
      </c>
      <c r="I6" s="79" t="s">
        <v>84</v>
      </c>
    </row>
    <row r="7" spans="1:9" x14ac:dyDescent="0.3">
      <c r="A7" s="27" t="s">
        <v>57</v>
      </c>
      <c r="B7" s="78"/>
      <c r="C7" s="86">
        <f>'Buying pool summary'!K7</f>
        <v>29991.343477986062</v>
      </c>
      <c r="D7" s="83">
        <f>'Member shares'!C6</f>
        <v>6586</v>
      </c>
      <c r="E7" s="83">
        <f t="shared" ref="E7:E22" si="0">SUM(C7:D7)</f>
        <v>36577.343477986062</v>
      </c>
      <c r="F7" s="55">
        <f>'Buying pool summary'!L7</f>
        <v>27350.751878782783</v>
      </c>
      <c r="G7" s="19">
        <f>'Member shares'!B6</f>
        <v>6953</v>
      </c>
      <c r="H7" s="19">
        <f t="shared" ref="H7:H22" si="1">SUM(F7:G7)</f>
        <v>34303.751878782787</v>
      </c>
      <c r="I7" s="18">
        <f t="shared" ref="I7:I22" si="2">E7-H7</f>
        <v>2273.5915992032751</v>
      </c>
    </row>
    <row r="8" spans="1:9" x14ac:dyDescent="0.3">
      <c r="A8" s="30" t="s">
        <v>58</v>
      </c>
      <c r="B8" s="78">
        <v>25542</v>
      </c>
      <c r="C8" s="86">
        <f>'Buying pool summary'!K8</f>
        <v>138003.87504342326</v>
      </c>
      <c r="D8" s="83">
        <f>'Member shares'!C7</f>
        <v>6586</v>
      </c>
      <c r="E8" s="83">
        <f t="shared" si="0"/>
        <v>144589.87504342326</v>
      </c>
      <c r="F8" s="55">
        <f>'Buying pool summary'!L8</f>
        <v>135337.73874952793</v>
      </c>
      <c r="G8" s="19">
        <f>'Member shares'!B7</f>
        <v>6953</v>
      </c>
      <c r="H8" s="19">
        <f t="shared" si="1"/>
        <v>142290.73874952793</v>
      </c>
      <c r="I8" s="18">
        <f t="shared" si="2"/>
        <v>2299.1362938953389</v>
      </c>
    </row>
    <row r="9" spans="1:9" x14ac:dyDescent="0.3">
      <c r="A9" s="27" t="s">
        <v>91</v>
      </c>
      <c r="B9" s="78"/>
      <c r="C9" s="86">
        <f>'Buying pool summary'!K9</f>
        <v>129774.46277785102</v>
      </c>
      <c r="D9" s="83">
        <f>'Member shares'!C8</f>
        <v>6586</v>
      </c>
      <c r="E9" s="83">
        <f t="shared" si="0"/>
        <v>136360.46277785103</v>
      </c>
      <c r="F9" s="55">
        <f>'Buying pool summary'!L9</f>
        <v>122310.0509292764</v>
      </c>
      <c r="G9" s="19">
        <f>'Member shares'!B8</f>
        <v>6953</v>
      </c>
      <c r="H9" s="19">
        <f t="shared" si="1"/>
        <v>129263.0509292764</v>
      </c>
      <c r="I9" s="18">
        <f t="shared" si="2"/>
        <v>7097.4118485746294</v>
      </c>
    </row>
    <row r="10" spans="1:9" x14ac:dyDescent="0.3">
      <c r="A10" s="30" t="s">
        <v>59</v>
      </c>
      <c r="B10" s="78"/>
      <c r="C10" s="86">
        <f>'Buying pool summary'!K10</f>
        <v>31954.420627736577</v>
      </c>
      <c r="D10" s="83">
        <f>'Member shares'!C9</f>
        <v>6586</v>
      </c>
      <c r="E10" s="83">
        <f t="shared" si="0"/>
        <v>38540.420627736574</v>
      </c>
      <c r="F10" s="55">
        <f>'Buying pool summary'!L10</f>
        <v>29926.973723724972</v>
      </c>
      <c r="G10" s="19">
        <f>'Member shares'!B9</f>
        <v>6953</v>
      </c>
      <c r="H10" s="19">
        <f t="shared" si="1"/>
        <v>36879.973723724972</v>
      </c>
      <c r="I10" s="18">
        <f t="shared" si="2"/>
        <v>1660.4469040116019</v>
      </c>
    </row>
    <row r="11" spans="1:9" x14ac:dyDescent="0.3">
      <c r="A11" s="30" t="s">
        <v>60</v>
      </c>
      <c r="B11" s="78"/>
      <c r="C11" s="86">
        <f>'Buying pool summary'!K11</f>
        <v>55278.084495264186</v>
      </c>
      <c r="D11" s="83">
        <f>'Member shares'!C10</f>
        <v>6586</v>
      </c>
      <c r="E11" s="83">
        <f t="shared" si="0"/>
        <v>61864.084495264186</v>
      </c>
      <c r="F11" s="55">
        <f>'Buying pool summary'!L11</f>
        <v>51954.098316213378</v>
      </c>
      <c r="G11" s="19">
        <f>'Member shares'!B10</f>
        <v>6953</v>
      </c>
      <c r="H11" s="19">
        <f t="shared" si="1"/>
        <v>58907.098316213378</v>
      </c>
      <c r="I11" s="18">
        <f t="shared" si="2"/>
        <v>2956.9861790508076</v>
      </c>
    </row>
    <row r="12" spans="1:9" x14ac:dyDescent="0.3">
      <c r="A12" s="30" t="s">
        <v>61</v>
      </c>
      <c r="B12" s="78"/>
      <c r="C12" s="86">
        <f>'Buying pool summary'!K12</f>
        <v>21958.319485989003</v>
      </c>
      <c r="D12" s="83">
        <f>'Member shares'!C11</f>
        <v>6586</v>
      </c>
      <c r="E12" s="83">
        <f t="shared" si="0"/>
        <v>28544.319485989003</v>
      </c>
      <c r="F12" s="55">
        <f>'Buying pool summary'!L12</f>
        <v>19296.961310976523</v>
      </c>
      <c r="G12" s="19">
        <f>'Member shares'!B11</f>
        <v>6953</v>
      </c>
      <c r="H12" s="19">
        <f t="shared" si="1"/>
        <v>26249.961310976523</v>
      </c>
      <c r="I12" s="18">
        <f t="shared" si="2"/>
        <v>2294.3581750124795</v>
      </c>
    </row>
    <row r="13" spans="1:9" x14ac:dyDescent="0.3">
      <c r="A13" s="30" t="s">
        <v>62</v>
      </c>
      <c r="B13" s="78"/>
      <c r="C13" s="86">
        <f>'Buying pool summary'!K13</f>
        <v>154346.9056897847</v>
      </c>
      <c r="D13" s="83">
        <f>'Member shares'!C12</f>
        <v>6586</v>
      </c>
      <c r="E13" s="83">
        <f t="shared" si="0"/>
        <v>160932.9056897847</v>
      </c>
      <c r="F13" s="55">
        <f>'Buying pool summary'!L13</f>
        <v>147215.37822912063</v>
      </c>
      <c r="G13" s="19">
        <f>'Member shares'!B12</f>
        <v>6953</v>
      </c>
      <c r="H13" s="19">
        <f t="shared" si="1"/>
        <v>154168.37822912063</v>
      </c>
      <c r="I13" s="18">
        <f t="shared" si="2"/>
        <v>6764.5274606640742</v>
      </c>
    </row>
    <row r="14" spans="1:9" x14ac:dyDescent="0.3">
      <c r="A14" s="27" t="s">
        <v>63</v>
      </c>
      <c r="B14" s="78"/>
      <c r="C14" s="86">
        <f>'Buying pool summary'!K14</f>
        <v>103085.35318767813</v>
      </c>
      <c r="D14" s="83">
        <f>'Member shares'!C13</f>
        <v>6586</v>
      </c>
      <c r="E14" s="83">
        <f t="shared" si="0"/>
        <v>109671.35318767813</v>
      </c>
      <c r="F14" s="55">
        <f>'Buying pool summary'!L14</f>
        <v>95878.433895062859</v>
      </c>
      <c r="G14" s="19">
        <f>'Member shares'!B13</f>
        <v>6953</v>
      </c>
      <c r="H14" s="19">
        <f t="shared" si="1"/>
        <v>102831.43389506286</v>
      </c>
      <c r="I14" s="18">
        <f t="shared" si="2"/>
        <v>6839.9192926152755</v>
      </c>
    </row>
    <row r="15" spans="1:9" x14ac:dyDescent="0.3">
      <c r="A15" s="30" t="s">
        <v>83</v>
      </c>
      <c r="B15" s="78" t="e">
        <f>SUM(#REF!)</f>
        <v>#REF!</v>
      </c>
      <c r="C15" s="86">
        <f>'Buying pool summary'!K15</f>
        <v>97533.937688948703</v>
      </c>
      <c r="D15" s="83">
        <f>'Member shares'!C14</f>
        <v>6586</v>
      </c>
      <c r="E15" s="83">
        <f t="shared" si="0"/>
        <v>104119.9376889487</v>
      </c>
      <c r="F15" s="55">
        <f>'Buying pool summary'!L15</f>
        <v>93911.700154904422</v>
      </c>
      <c r="G15" s="19">
        <f>'Member shares'!B14</f>
        <v>6953</v>
      </c>
      <c r="H15" s="19">
        <f t="shared" si="1"/>
        <v>100864.70015490442</v>
      </c>
      <c r="I15" s="18">
        <f t="shared" si="2"/>
        <v>3255.2375340442813</v>
      </c>
    </row>
    <row r="16" spans="1:9" x14ac:dyDescent="0.3">
      <c r="A16" s="30" t="s">
        <v>65</v>
      </c>
      <c r="B16" s="78"/>
      <c r="C16" s="86">
        <f>'Buying pool summary'!K16</f>
        <v>47006.703292014543</v>
      </c>
      <c r="D16" s="83">
        <f>'Member shares'!C15</f>
        <v>6586</v>
      </c>
      <c r="E16" s="83">
        <f t="shared" si="0"/>
        <v>53592.703292014543</v>
      </c>
      <c r="F16" s="55">
        <f>'Buying pool summary'!L16</f>
        <v>42323.479185854063</v>
      </c>
      <c r="G16" s="19">
        <f>'Member shares'!B15</f>
        <v>6953</v>
      </c>
      <c r="H16" s="19">
        <f t="shared" si="1"/>
        <v>49276.479185854063</v>
      </c>
      <c r="I16" s="18">
        <f t="shared" si="2"/>
        <v>4316.22410616048</v>
      </c>
    </row>
    <row r="17" spans="1:9" x14ac:dyDescent="0.3">
      <c r="A17" s="30" t="s">
        <v>82</v>
      </c>
      <c r="B17" s="78"/>
      <c r="C17" s="86">
        <f>'Buying pool summary'!K17</f>
        <v>52909.942937260646</v>
      </c>
      <c r="D17" s="83">
        <f>'Member shares'!C16</f>
        <v>6586</v>
      </c>
      <c r="E17" s="83">
        <f t="shared" si="0"/>
        <v>59495.942937260646</v>
      </c>
      <c r="F17" s="55">
        <f>'Buying pool summary'!L17</f>
        <v>54468.68259594198</v>
      </c>
      <c r="G17" s="19">
        <f>'Member shares'!B16</f>
        <v>6953</v>
      </c>
      <c r="H17" s="19">
        <f t="shared" si="1"/>
        <v>61421.68259594198</v>
      </c>
      <c r="I17" s="18">
        <f t="shared" si="2"/>
        <v>-1925.7396586813338</v>
      </c>
    </row>
    <row r="18" spans="1:9" x14ac:dyDescent="0.3">
      <c r="A18" s="30" t="s">
        <v>67</v>
      </c>
      <c r="B18" s="78"/>
      <c r="C18" s="86">
        <f>'Buying pool summary'!K18</f>
        <v>305788.69860697875</v>
      </c>
      <c r="D18" s="83">
        <f>'Member shares'!C17</f>
        <v>6586</v>
      </c>
      <c r="E18" s="83">
        <f t="shared" si="0"/>
        <v>312374.69860697875</v>
      </c>
      <c r="F18" s="55">
        <f>'Buying pool summary'!L18</f>
        <v>288430.92688579904</v>
      </c>
      <c r="G18" s="19">
        <f>'Member shares'!B17</f>
        <v>6953</v>
      </c>
      <c r="H18" s="19">
        <f t="shared" si="1"/>
        <v>295383.92688579904</v>
      </c>
      <c r="I18" s="18">
        <f t="shared" si="2"/>
        <v>16990.771721179713</v>
      </c>
    </row>
    <row r="19" spans="1:9" x14ac:dyDescent="0.3">
      <c r="A19" s="30" t="s">
        <v>68</v>
      </c>
      <c r="B19" s="78"/>
      <c r="C19" s="86">
        <f>'Buying pool summary'!K19</f>
        <v>29369.797622518672</v>
      </c>
      <c r="D19" s="83">
        <f>'Member shares'!C18</f>
        <v>6586</v>
      </c>
      <c r="E19" s="83">
        <f t="shared" si="0"/>
        <v>35955.797622518672</v>
      </c>
      <c r="F19" s="55">
        <f>'Buying pool summary'!L19</f>
        <v>27061.75800225222</v>
      </c>
      <c r="G19" s="19">
        <f>'Member shares'!B18</f>
        <v>6953</v>
      </c>
      <c r="H19" s="19">
        <f t="shared" si="1"/>
        <v>34014.758002252216</v>
      </c>
      <c r="I19" s="18">
        <f t="shared" si="2"/>
        <v>1941.039620266456</v>
      </c>
    </row>
    <row r="20" spans="1:9" x14ac:dyDescent="0.3">
      <c r="A20" s="30" t="s">
        <v>69</v>
      </c>
      <c r="B20" s="78"/>
      <c r="C20" s="86">
        <f>'Buying pool summary'!K20</f>
        <v>71047.973332339679</v>
      </c>
      <c r="D20" s="83">
        <f>'Member shares'!C19</f>
        <v>6586</v>
      </c>
      <c r="E20" s="83">
        <f t="shared" si="0"/>
        <v>77633.973332339679</v>
      </c>
      <c r="F20" s="55">
        <f>'Buying pool summary'!L20</f>
        <v>64858.990192979429</v>
      </c>
      <c r="G20" s="19">
        <f>'Member shares'!B19</f>
        <v>6953</v>
      </c>
      <c r="H20" s="19">
        <f t="shared" si="1"/>
        <v>71811.990192979429</v>
      </c>
      <c r="I20" s="18">
        <f t="shared" si="2"/>
        <v>5821.9831393602508</v>
      </c>
    </row>
    <row r="21" spans="1:9" x14ac:dyDescent="0.3">
      <c r="A21" s="30" t="s">
        <v>70</v>
      </c>
      <c r="B21" s="78"/>
      <c r="C21" s="86">
        <f>'Buying pool summary'!K21</f>
        <v>71217.844880003453</v>
      </c>
      <c r="D21" s="83">
        <f>'Member shares'!C20</f>
        <v>6586</v>
      </c>
      <c r="E21" s="83">
        <f t="shared" si="0"/>
        <v>77803.844880003453</v>
      </c>
      <c r="F21" s="55">
        <f>'Buying pool summary'!L21</f>
        <v>79132.850077864336</v>
      </c>
      <c r="G21" s="19">
        <f>'Member shares'!B20</f>
        <v>6953</v>
      </c>
      <c r="H21" s="19">
        <f t="shared" si="1"/>
        <v>86085.850077864336</v>
      </c>
      <c r="I21" s="18">
        <f t="shared" si="2"/>
        <v>-8282.0051978608826</v>
      </c>
    </row>
    <row r="22" spans="1:9" ht="16.5" customHeight="1" x14ac:dyDescent="0.3">
      <c r="A22" s="32" t="s">
        <v>81</v>
      </c>
      <c r="B22" s="77" t="e">
        <f>SUM(#REF!)</f>
        <v>#REF!</v>
      </c>
      <c r="C22" s="86">
        <f>'Buying pool summary'!K22</f>
        <v>68398.336854222624</v>
      </c>
      <c r="D22" s="83">
        <f>'Member shares'!C21</f>
        <v>6586</v>
      </c>
      <c r="E22" s="83">
        <f t="shared" si="0"/>
        <v>74984.336854222624</v>
      </c>
      <c r="F22" s="55">
        <f>'Buying pool summary'!L22</f>
        <v>61485.225871719056</v>
      </c>
      <c r="G22" s="19">
        <f>'Member shares'!B21</f>
        <v>6953</v>
      </c>
      <c r="H22" s="19">
        <f t="shared" si="1"/>
        <v>68438.225871719056</v>
      </c>
      <c r="I22" s="18">
        <f t="shared" si="2"/>
        <v>6546.1109825035674</v>
      </c>
    </row>
    <row r="23" spans="1:9" x14ac:dyDescent="0.3">
      <c r="C23" s="76">
        <f t="shared" ref="C23:H23" si="3">SUM(C7:C22)</f>
        <v>1407666</v>
      </c>
      <c r="D23" s="18">
        <f t="shared" si="3"/>
        <v>105376</v>
      </c>
      <c r="E23" s="18">
        <f t="shared" si="3"/>
        <v>1513042</v>
      </c>
      <c r="F23" s="76">
        <f t="shared" si="3"/>
        <v>1340943.9999999998</v>
      </c>
      <c r="G23" s="18">
        <f t="shared" si="3"/>
        <v>111248</v>
      </c>
      <c r="H23" s="18">
        <f t="shared" si="3"/>
        <v>1452191.9999999998</v>
      </c>
      <c r="I23" s="18"/>
    </row>
  </sheetData>
  <sheetProtection algorithmName="SHA-512" hashValue="OYc1D4NZwFfFNjKXuhuhj28hFJNwsGYHzLAk64wNxAUQHssz4/ETDNMJ0RXe68W36vDkHrjualwZfNZJk73q2w==" saltValue="AjZ/VNS+Y1fVVvpNnFeWOg==" spinCount="100000" sheet="1" objects="1" scenarios="1"/>
  <pageMargins left="0.7" right="0.7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workbookViewId="0">
      <selection activeCell="D25" sqref="D25"/>
    </sheetView>
  </sheetViews>
  <sheetFormatPr defaultColWidth="8.88671875" defaultRowHeight="14.4" x14ac:dyDescent="0.3"/>
  <cols>
    <col min="1" max="1" width="34.6640625" style="134" bestFit="1" customWidth="1"/>
    <col min="2" max="2" width="6" style="134" hidden="1" customWidth="1"/>
    <col min="3" max="3" width="11.5546875" style="134" bestFit="1" customWidth="1"/>
    <col min="4" max="4" width="14.5546875" style="134" bestFit="1" customWidth="1"/>
    <col min="5" max="5" width="14.5546875" style="134" customWidth="1"/>
    <col min="6" max="7" width="11.5546875" style="134" bestFit="1" customWidth="1"/>
    <col min="8" max="8" width="14.5546875" style="134" bestFit="1" customWidth="1"/>
    <col min="9" max="9" width="14.5546875" style="134" customWidth="1"/>
    <col min="10" max="10" width="11.5546875" style="134" bestFit="1" customWidth="1"/>
    <col min="11" max="11" width="9.6640625" style="134" bestFit="1" customWidth="1"/>
    <col min="12" max="16384" width="8.88671875" style="134"/>
  </cols>
  <sheetData>
    <row r="1" spans="1:11" x14ac:dyDescent="0.3">
      <c r="A1" s="175" t="s">
        <v>105</v>
      </c>
      <c r="B1" s="135"/>
      <c r="C1" s="153"/>
      <c r="D1" s="156">
        <v>2022</v>
      </c>
      <c r="E1" s="136"/>
      <c r="F1" s="136"/>
      <c r="G1" s="136"/>
    </row>
    <row r="2" spans="1:11" ht="15" thickBot="1" x14ac:dyDescent="0.35">
      <c r="A2" s="176"/>
      <c r="B2" s="154"/>
      <c r="C2" s="155"/>
      <c r="D2" s="157">
        <v>2021</v>
      </c>
      <c r="E2" s="136"/>
      <c r="F2" s="136"/>
      <c r="G2" s="136"/>
    </row>
    <row r="3" spans="1:11" x14ac:dyDescent="0.3">
      <c r="B3" s="137"/>
      <c r="C3" s="138"/>
      <c r="D3" s="136"/>
      <c r="E3" s="136"/>
      <c r="F3" s="136"/>
    </row>
    <row r="5" spans="1:11" x14ac:dyDescent="0.3">
      <c r="C5" s="81">
        <v>2023</v>
      </c>
      <c r="D5" s="81">
        <v>2023</v>
      </c>
      <c r="E5" s="81">
        <v>2023</v>
      </c>
      <c r="F5" s="81">
        <v>2023</v>
      </c>
      <c r="G5" s="81">
        <v>2022</v>
      </c>
      <c r="H5" s="81">
        <v>2022</v>
      </c>
      <c r="I5" s="81">
        <v>2022</v>
      </c>
      <c r="J5" s="81">
        <v>2022</v>
      </c>
      <c r="K5" s="137" t="s">
        <v>26</v>
      </c>
    </row>
    <row r="6" spans="1:11" x14ac:dyDescent="0.3">
      <c r="A6" s="139" t="s">
        <v>49</v>
      </c>
      <c r="B6" s="140"/>
      <c r="C6" s="141" t="s">
        <v>86</v>
      </c>
      <c r="D6" s="137" t="s">
        <v>87</v>
      </c>
      <c r="E6" s="137" t="s">
        <v>101</v>
      </c>
      <c r="F6" s="137" t="s">
        <v>85</v>
      </c>
      <c r="G6" s="141" t="s">
        <v>86</v>
      </c>
      <c r="H6" s="137" t="s">
        <v>87</v>
      </c>
      <c r="I6" s="137" t="s">
        <v>101</v>
      </c>
      <c r="J6" s="137" t="s">
        <v>85</v>
      </c>
      <c r="K6" s="142" t="s">
        <v>84</v>
      </c>
    </row>
    <row r="7" spans="1:11" x14ac:dyDescent="0.3">
      <c r="A7" s="143" t="s">
        <v>57</v>
      </c>
      <c r="B7" s="143"/>
      <c r="C7" s="146">
        <f>'Buying pool summary'!K7</f>
        <v>29991.343477986062</v>
      </c>
      <c r="D7" s="147">
        <f>'Member shares'!B6</f>
        <v>6953</v>
      </c>
      <c r="E7" s="147">
        <f>'Magazine Costs'!G6</f>
        <v>1742.5171490165769</v>
      </c>
      <c r="F7" s="147">
        <f>SUM(C7:E7)</f>
        <v>38686.860627002636</v>
      </c>
      <c r="G7" s="144">
        <f>'Buying pool summary'!L7</f>
        <v>27350.751878782783</v>
      </c>
      <c r="H7" s="145">
        <f>'Member shares'!C6</f>
        <v>6586</v>
      </c>
      <c r="I7" s="145">
        <f>'Magazine Costs'!H6</f>
        <v>2080.377124640554</v>
      </c>
      <c r="J7" s="145">
        <f>SUM(G7:I7)</f>
        <v>36017.129003423339</v>
      </c>
      <c r="K7" s="148">
        <f t="shared" ref="K7:K22" si="0">J7-F7</f>
        <v>-2669.7316235792969</v>
      </c>
    </row>
    <row r="8" spans="1:11" x14ac:dyDescent="0.3">
      <c r="A8" s="149" t="s">
        <v>58</v>
      </c>
      <c r="B8" s="143">
        <v>25542</v>
      </c>
      <c r="C8" s="146">
        <f>'Buying pool summary'!K8</f>
        <v>138003.87504342326</v>
      </c>
      <c r="D8" s="147">
        <f>'Member shares'!B7</f>
        <v>6953</v>
      </c>
      <c r="E8" s="147">
        <f>'Magazine Costs'!G7</f>
        <v>7705.0406067094045</v>
      </c>
      <c r="F8" s="147">
        <f t="shared" ref="F8:F22" si="1">SUM(C8:E8)</f>
        <v>152661.91565013267</v>
      </c>
      <c r="G8" s="144">
        <f>'Buying pool summary'!L8</f>
        <v>135337.73874952793</v>
      </c>
      <c r="H8" s="145">
        <f>'Member shares'!C7</f>
        <v>6586</v>
      </c>
      <c r="I8" s="145">
        <f>'Magazine Costs'!H7</f>
        <v>9994.2107858530908</v>
      </c>
      <c r="J8" s="145">
        <f t="shared" ref="J8:J22" si="2">SUM(G8:I8)</f>
        <v>151917.94953538102</v>
      </c>
      <c r="K8" s="148">
        <f t="shared" si="0"/>
        <v>-743.96611475164536</v>
      </c>
    </row>
    <row r="9" spans="1:11" x14ac:dyDescent="0.3">
      <c r="A9" s="143" t="s">
        <v>91</v>
      </c>
      <c r="B9" s="143"/>
      <c r="C9" s="146">
        <f>'Buying pool summary'!K9</f>
        <v>129774.46277785102</v>
      </c>
      <c r="D9" s="147">
        <f>'Member shares'!B8</f>
        <v>6953</v>
      </c>
      <c r="E9" s="147">
        <f>'Magazine Costs'!G8</f>
        <v>7354.7671270446372</v>
      </c>
      <c r="F9" s="147">
        <f t="shared" si="1"/>
        <v>144082.22990489568</v>
      </c>
      <c r="G9" s="144">
        <f>'Buying pool summary'!L9</f>
        <v>122310.0509292764</v>
      </c>
      <c r="H9" s="145">
        <f>'Member shares'!C8</f>
        <v>6586</v>
      </c>
      <c r="I9" s="145">
        <f>'Magazine Costs'!H8</f>
        <v>9144.9337599017108</v>
      </c>
      <c r="J9" s="145">
        <f t="shared" si="2"/>
        <v>138040.98468917812</v>
      </c>
      <c r="K9" s="148">
        <f t="shared" si="0"/>
        <v>-6041.2452157175576</v>
      </c>
    </row>
    <row r="10" spans="1:11" x14ac:dyDescent="0.3">
      <c r="A10" s="149" t="s">
        <v>59</v>
      </c>
      <c r="B10" s="143"/>
      <c r="C10" s="146">
        <f>'Buying pool summary'!K10</f>
        <v>31954.420627736577</v>
      </c>
      <c r="D10" s="147">
        <f>'Member shares'!B9</f>
        <v>6953</v>
      </c>
      <c r="E10" s="147">
        <f>'Magazine Costs'!G9</f>
        <v>1830.3124906799906</v>
      </c>
      <c r="F10" s="147">
        <f t="shared" si="1"/>
        <v>40737.733118416567</v>
      </c>
      <c r="G10" s="144">
        <f>'Buying pool summary'!L10</f>
        <v>29926.973723724972</v>
      </c>
      <c r="H10" s="145">
        <f>'Member shares'!C9</f>
        <v>6586</v>
      </c>
      <c r="I10" s="145">
        <f>'Magazine Costs'!H9</f>
        <v>2257.5508136483109</v>
      </c>
      <c r="J10" s="145">
        <f t="shared" si="2"/>
        <v>38770.524537373283</v>
      </c>
      <c r="K10" s="148">
        <f t="shared" si="0"/>
        <v>-1967.2085810432836</v>
      </c>
    </row>
    <row r="11" spans="1:11" x14ac:dyDescent="0.3">
      <c r="A11" s="149" t="s">
        <v>60</v>
      </c>
      <c r="B11" s="143"/>
      <c r="C11" s="146">
        <f>'Buying pool summary'!K11</f>
        <v>55278.084495264186</v>
      </c>
      <c r="D11" s="147">
        <f>'Member shares'!B10</f>
        <v>6953</v>
      </c>
      <c r="E11" s="147">
        <f>'Magazine Costs'!G10</f>
        <v>3173.0865451348423</v>
      </c>
      <c r="F11" s="147">
        <f t="shared" si="1"/>
        <v>65404.171040399029</v>
      </c>
      <c r="G11" s="144">
        <f>'Buying pool summary'!L11</f>
        <v>51954.098316213378</v>
      </c>
      <c r="H11" s="145">
        <f>'Member shares'!C10</f>
        <v>6586</v>
      </c>
      <c r="I11" s="145">
        <f>'Magazine Costs'!H10</f>
        <v>3918.844758086072</v>
      </c>
      <c r="J11" s="145">
        <f t="shared" si="2"/>
        <v>62458.943074299452</v>
      </c>
      <c r="K11" s="148">
        <f t="shared" si="0"/>
        <v>-2945.2279660995773</v>
      </c>
    </row>
    <row r="12" spans="1:11" x14ac:dyDescent="0.3">
      <c r="A12" s="149" t="s">
        <v>61</v>
      </c>
      <c r="B12" s="143"/>
      <c r="C12" s="146">
        <f>'Buying pool summary'!K12</f>
        <v>21958.319485989003</v>
      </c>
      <c r="D12" s="147">
        <f>'Member shares'!B11</f>
        <v>6953</v>
      </c>
      <c r="E12" s="147">
        <f>'Magazine Costs'!G11</f>
        <v>1276.1938019898662</v>
      </c>
      <c r="F12" s="147">
        <f t="shared" si="1"/>
        <v>30187.513287978869</v>
      </c>
      <c r="G12" s="144">
        <f>'Buying pool summary'!L12</f>
        <v>19296.961310976523</v>
      </c>
      <c r="H12" s="145">
        <f>'Member shares'!C11</f>
        <v>6586</v>
      </c>
      <c r="I12" s="145">
        <f>'Magazine Costs'!H11</f>
        <v>1469.1338806482311</v>
      </c>
      <c r="J12" s="145">
        <f t="shared" si="2"/>
        <v>27352.095191624754</v>
      </c>
      <c r="K12" s="148">
        <f t="shared" si="0"/>
        <v>-2835.4180963541148</v>
      </c>
    </row>
    <row r="13" spans="1:11" x14ac:dyDescent="0.3">
      <c r="A13" s="149" t="s">
        <v>62</v>
      </c>
      <c r="B13" s="143"/>
      <c r="C13" s="146">
        <f>'Buying pool summary'!K13</f>
        <v>154346.9056897847</v>
      </c>
      <c r="D13" s="147">
        <f>'Member shares'!B12</f>
        <v>6953</v>
      </c>
      <c r="E13" s="147">
        <f>'Magazine Costs'!G12</f>
        <v>8833.7725254797933</v>
      </c>
      <c r="F13" s="147">
        <f t="shared" si="1"/>
        <v>170133.67821526449</v>
      </c>
      <c r="G13" s="144">
        <f>'Buying pool summary'!L13</f>
        <v>147215.37822912063</v>
      </c>
      <c r="H13" s="145">
        <f>'Member shares'!C12</f>
        <v>6586</v>
      </c>
      <c r="I13" s="145">
        <f>'Magazine Costs'!H12</f>
        <v>11083.52861967864</v>
      </c>
      <c r="J13" s="145">
        <f t="shared" si="2"/>
        <v>164884.90684879926</v>
      </c>
      <c r="K13" s="148">
        <f t="shared" si="0"/>
        <v>-5248.7713664652256</v>
      </c>
    </row>
    <row r="14" spans="1:11" x14ac:dyDescent="0.3">
      <c r="A14" s="143" t="s">
        <v>63</v>
      </c>
      <c r="B14" s="143"/>
      <c r="C14" s="146">
        <f>'Buying pool summary'!K14</f>
        <v>103085.35318767813</v>
      </c>
      <c r="D14" s="147">
        <f>'Member shares'!B13</f>
        <v>6953</v>
      </c>
      <c r="E14" s="147">
        <f>'Magazine Costs'!G13</f>
        <v>5874.260612054627</v>
      </c>
      <c r="F14" s="147">
        <f t="shared" si="1"/>
        <v>115912.61379973276</v>
      </c>
      <c r="G14" s="144">
        <f>'Buying pool summary'!L14</f>
        <v>95878.433895062859</v>
      </c>
      <c r="H14" s="145">
        <f>'Member shares'!C13</f>
        <v>6586</v>
      </c>
      <c r="I14" s="145">
        <f>'Magazine Costs'!H13</f>
        <v>7169.1077972227531</v>
      </c>
      <c r="J14" s="145">
        <f t="shared" si="2"/>
        <v>109633.54169228561</v>
      </c>
      <c r="K14" s="148">
        <f t="shared" si="0"/>
        <v>-6279.0721074471512</v>
      </c>
    </row>
    <row r="15" spans="1:11" x14ac:dyDescent="0.3">
      <c r="A15" s="149" t="s">
        <v>83</v>
      </c>
      <c r="B15" s="143" t="e">
        <f>SUM(#REF!)</f>
        <v>#REF!</v>
      </c>
      <c r="C15" s="146">
        <f>'Buying pool summary'!K15</f>
        <v>97533.937688948703</v>
      </c>
      <c r="D15" s="147">
        <f>'Member shares'!B14</f>
        <v>6953</v>
      </c>
      <c r="E15" s="147">
        <f>'Magazine Costs'!G14</f>
        <v>5556.9126350219904</v>
      </c>
      <c r="F15" s="147">
        <f t="shared" si="1"/>
        <v>110043.85032397069</v>
      </c>
      <c r="G15" s="144">
        <f>'Buying pool summary'!L15</f>
        <v>93911.700154904422</v>
      </c>
      <c r="H15" s="145">
        <f>'Member shares'!C14</f>
        <v>6586</v>
      </c>
      <c r="I15" s="145">
        <f>'Magazine Costs'!H14</f>
        <v>7042.7922360753582</v>
      </c>
      <c r="J15" s="145">
        <f t="shared" si="2"/>
        <v>107540.49239097978</v>
      </c>
      <c r="K15" s="148">
        <f t="shared" si="0"/>
        <v>-2503.3579329909116</v>
      </c>
    </row>
    <row r="16" spans="1:11" x14ac:dyDescent="0.3">
      <c r="A16" s="149" t="s">
        <v>65</v>
      </c>
      <c r="B16" s="143"/>
      <c r="C16" s="146">
        <f>'Buying pool summary'!K16</f>
        <v>47006.703292014543</v>
      </c>
      <c r="D16" s="147">
        <f>'Member shares'!B15</f>
        <v>6953</v>
      </c>
      <c r="E16" s="147">
        <f>'Magazine Costs'!G15</f>
        <v>2685.6802946937401</v>
      </c>
      <c r="F16" s="147">
        <f t="shared" si="1"/>
        <v>56645.383586708282</v>
      </c>
      <c r="G16" s="144">
        <f>'Buying pool summary'!L16</f>
        <v>42323.479185854063</v>
      </c>
      <c r="H16" s="145">
        <f>'Member shares'!C15</f>
        <v>6586</v>
      </c>
      <c r="I16" s="145">
        <f>'Magazine Costs'!H15</f>
        <v>3176.5246747769816</v>
      </c>
      <c r="J16" s="145">
        <f t="shared" si="2"/>
        <v>52086.003860631041</v>
      </c>
      <c r="K16" s="148">
        <f t="shared" si="0"/>
        <v>-4559.3797260772408</v>
      </c>
    </row>
    <row r="17" spans="1:11" x14ac:dyDescent="0.3">
      <c r="A17" s="149" t="s">
        <v>82</v>
      </c>
      <c r="B17" s="143"/>
      <c r="C17" s="146">
        <f>'Buying pool summary'!K17</f>
        <v>52909.942937260646</v>
      </c>
      <c r="D17" s="147">
        <f>'Member shares'!B16</f>
        <v>6953</v>
      </c>
      <c r="E17" s="147">
        <f>'Magazine Costs'!G16</f>
        <v>3018.6952242489579</v>
      </c>
      <c r="F17" s="147">
        <f t="shared" si="1"/>
        <v>62881.638161509603</v>
      </c>
      <c r="G17" s="144">
        <f>'Buying pool summary'!L17</f>
        <v>54468.68259594198</v>
      </c>
      <c r="H17" s="145">
        <f>'Member shares'!C16</f>
        <v>6586</v>
      </c>
      <c r="I17" s="145">
        <f>'Magazine Costs'!H16</f>
        <v>4080.5357740641862</v>
      </c>
      <c r="J17" s="145">
        <f t="shared" si="2"/>
        <v>65135.218370006165</v>
      </c>
      <c r="K17" s="148">
        <f t="shared" si="0"/>
        <v>2253.5802084965617</v>
      </c>
    </row>
    <row r="18" spans="1:11" x14ac:dyDescent="0.3">
      <c r="A18" s="149" t="s">
        <v>67</v>
      </c>
      <c r="B18" s="143"/>
      <c r="C18" s="146">
        <f>'Buying pool summary'!K18</f>
        <v>305788.69860697875</v>
      </c>
      <c r="D18" s="147">
        <f>'Member shares'!B17</f>
        <v>6953</v>
      </c>
      <c r="E18" s="147">
        <f>'Magazine Costs'!G17</f>
        <v>17086.746545024591</v>
      </c>
      <c r="F18" s="147">
        <f t="shared" si="1"/>
        <v>329828.44515200332</v>
      </c>
      <c r="G18" s="144">
        <f>'Buying pool summary'!L18</f>
        <v>288430.92688579904</v>
      </c>
      <c r="H18" s="145">
        <f>'Member shares'!C17</f>
        <v>6586</v>
      </c>
      <c r="I18" s="145">
        <f>'Magazine Costs'!H17</f>
        <v>21085.624779808586</v>
      </c>
      <c r="J18" s="145">
        <f t="shared" si="2"/>
        <v>316102.55166560761</v>
      </c>
      <c r="K18" s="148">
        <f t="shared" si="0"/>
        <v>-13725.893486395711</v>
      </c>
    </row>
    <row r="19" spans="1:11" x14ac:dyDescent="0.3">
      <c r="A19" s="149" t="s">
        <v>68</v>
      </c>
      <c r="B19" s="143"/>
      <c r="C19" s="146">
        <f>'Buying pool summary'!K19</f>
        <v>29369.797622518672</v>
      </c>
      <c r="D19" s="147">
        <f>'Member shares'!B18</f>
        <v>6953</v>
      </c>
      <c r="E19" s="147">
        <f>'Magazine Costs'!G18</f>
        <v>1702.164603419574</v>
      </c>
      <c r="F19" s="147">
        <f t="shared" si="1"/>
        <v>38024.962225938245</v>
      </c>
      <c r="G19" s="144">
        <f>'Buying pool summary'!L19</f>
        <v>27061.75800225222</v>
      </c>
      <c r="H19" s="145">
        <f>'Member shares'!C18</f>
        <v>6586</v>
      </c>
      <c r="I19" s="145">
        <f>'Magazine Costs'!H18</f>
        <v>2048.3726795699417</v>
      </c>
      <c r="J19" s="145">
        <f t="shared" si="2"/>
        <v>35696.130681822156</v>
      </c>
      <c r="K19" s="148">
        <f t="shared" si="0"/>
        <v>-2328.8315441160885</v>
      </c>
    </row>
    <row r="20" spans="1:11" x14ac:dyDescent="0.3">
      <c r="A20" s="149" t="s">
        <v>69</v>
      </c>
      <c r="B20" s="143"/>
      <c r="C20" s="146">
        <f>'Buying pool summary'!K20</f>
        <v>71047.973332339679</v>
      </c>
      <c r="D20" s="147">
        <f>'Member shares'!B19</f>
        <v>6953</v>
      </c>
      <c r="E20" s="147">
        <f>'Magazine Costs'!G19</f>
        <v>4101.3538007020907</v>
      </c>
      <c r="F20" s="147">
        <f t="shared" si="1"/>
        <v>82102.327133041777</v>
      </c>
      <c r="G20" s="144">
        <f>'Buying pool summary'!L20</f>
        <v>64858.990192979429</v>
      </c>
      <c r="H20" s="145">
        <f>'Member shares'!C19</f>
        <v>6586</v>
      </c>
      <c r="I20" s="145">
        <f>'Magazine Costs'!H19</f>
        <v>4887.4158204579662</v>
      </c>
      <c r="J20" s="145">
        <f t="shared" si="2"/>
        <v>76332.406013437401</v>
      </c>
      <c r="K20" s="148">
        <f t="shared" si="0"/>
        <v>-5769.9211196043761</v>
      </c>
    </row>
    <row r="21" spans="1:11" x14ac:dyDescent="0.3">
      <c r="A21" s="149" t="s">
        <v>70</v>
      </c>
      <c r="B21" s="143"/>
      <c r="C21" s="146">
        <f>'Buying pool summary'!K21</f>
        <v>71217.844880003453</v>
      </c>
      <c r="D21" s="147">
        <f>'Member shares'!B20</f>
        <v>6953</v>
      </c>
      <c r="E21" s="147">
        <f>'Magazine Costs'!G20</f>
        <v>4098.2396144513959</v>
      </c>
      <c r="F21" s="147">
        <f t="shared" si="1"/>
        <v>82269.084494454844</v>
      </c>
      <c r="G21" s="144">
        <f>'Buying pool summary'!L21</f>
        <v>79132.850077864336</v>
      </c>
      <c r="H21" s="145">
        <f>'Member shares'!C20</f>
        <v>6586</v>
      </c>
      <c r="I21" s="145">
        <f>'Magazine Costs'!H20</f>
        <v>5910.2367992906384</v>
      </c>
      <c r="J21" s="145">
        <f t="shared" si="2"/>
        <v>91629.086877154972</v>
      </c>
      <c r="K21" s="148">
        <f t="shared" si="0"/>
        <v>9360.0023827001278</v>
      </c>
    </row>
    <row r="22" spans="1:11" x14ac:dyDescent="0.3">
      <c r="A22" s="150" t="s">
        <v>81</v>
      </c>
      <c r="B22" s="151" t="e">
        <f>SUM(#REF!)</f>
        <v>#REF!</v>
      </c>
      <c r="C22" s="146">
        <f>'Buying pool summary'!K22</f>
        <v>68398.336854222624</v>
      </c>
      <c r="D22" s="147">
        <f>'Member shares'!B21</f>
        <v>6953</v>
      </c>
      <c r="E22" s="147">
        <f>'Magazine Costs'!G21</f>
        <v>3960.256424327928</v>
      </c>
      <c r="F22" s="147">
        <f t="shared" si="1"/>
        <v>79311.593278550557</v>
      </c>
      <c r="G22" s="144">
        <f>'Buying pool summary'!L22</f>
        <v>61485.225871719056</v>
      </c>
      <c r="H22" s="145">
        <f>'Member shares'!C21</f>
        <v>6586</v>
      </c>
      <c r="I22" s="145">
        <f>'Magazine Costs'!H21</f>
        <v>4650.8096962769787</v>
      </c>
      <c r="J22" s="145">
        <f t="shared" si="2"/>
        <v>72722.035567996034</v>
      </c>
      <c r="K22" s="148">
        <f t="shared" si="0"/>
        <v>-6589.5577105545235</v>
      </c>
    </row>
    <row r="23" spans="1:11" x14ac:dyDescent="0.3">
      <c r="C23" s="152">
        <f t="shared" ref="C23:F23" si="3">SUM(C7:C22)</f>
        <v>1407666</v>
      </c>
      <c r="D23" s="148">
        <f t="shared" si="3"/>
        <v>111248</v>
      </c>
      <c r="E23" s="148">
        <f t="shared" si="3"/>
        <v>80000</v>
      </c>
      <c r="F23" s="148">
        <f t="shared" si="3"/>
        <v>1598914</v>
      </c>
      <c r="G23" s="152">
        <f>SUM(G7:G22)</f>
        <v>1340943.9999999998</v>
      </c>
      <c r="H23" s="148">
        <f>SUM(H7:H22)</f>
        <v>105376</v>
      </c>
      <c r="I23" s="148">
        <f>SUM(I7:I22)</f>
        <v>100000.00000000001</v>
      </c>
      <c r="J23" s="148">
        <f>SUM(J7:J22)</f>
        <v>1546319.9999999998</v>
      </c>
      <c r="K23" s="148"/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B29" sqref="B29"/>
    </sheetView>
  </sheetViews>
  <sheetFormatPr defaultColWidth="9.33203125" defaultRowHeight="14.4" x14ac:dyDescent="0.3"/>
  <cols>
    <col min="1" max="1" width="39.5546875" style="8" bestFit="1" customWidth="1"/>
    <col min="2" max="2" width="22.33203125" style="8" bestFit="1" customWidth="1"/>
    <col min="3" max="4" width="18.33203125" style="8" bestFit="1" customWidth="1"/>
    <col min="5" max="5" width="12.33203125" style="8" bestFit="1" customWidth="1"/>
    <col min="6" max="6" width="14" style="8" customWidth="1"/>
    <col min="7" max="16384" width="9.33203125" style="8"/>
  </cols>
  <sheetData>
    <row r="1" spans="1:5" x14ac:dyDescent="0.3">
      <c r="A1" s="12" t="s">
        <v>24</v>
      </c>
      <c r="B1" s="13">
        <f>'2023 budget'!C7</f>
        <v>111250</v>
      </c>
    </row>
    <row r="2" spans="1:5" x14ac:dyDescent="0.3">
      <c r="A2" s="14" t="s">
        <v>43</v>
      </c>
      <c r="B2" s="18">
        <f>ROUND(B1/16, 0)</f>
        <v>6953</v>
      </c>
    </row>
    <row r="5" spans="1:5" x14ac:dyDescent="0.3">
      <c r="A5" s="14" t="s">
        <v>25</v>
      </c>
      <c r="B5" s="99" t="s">
        <v>112</v>
      </c>
      <c r="C5" s="82" t="s">
        <v>113</v>
      </c>
      <c r="D5" s="14" t="s">
        <v>26</v>
      </c>
    </row>
    <row r="6" spans="1:5" x14ac:dyDescent="0.3">
      <c r="A6" s="8" t="s">
        <v>27</v>
      </c>
      <c r="B6" s="19">
        <f>$B$2</f>
        <v>6953</v>
      </c>
      <c r="C6" s="83">
        <v>6586</v>
      </c>
      <c r="D6" s="15">
        <f t="shared" ref="D6:D21" si="0">C6-B6</f>
        <v>-367</v>
      </c>
      <c r="E6" s="16"/>
    </row>
    <row r="7" spans="1:5" x14ac:dyDescent="0.3">
      <c r="A7" s="8" t="s">
        <v>28</v>
      </c>
      <c r="B7" s="19">
        <f t="shared" ref="B7:B21" si="1">$B$2</f>
        <v>6953</v>
      </c>
      <c r="C7" s="83">
        <v>6586</v>
      </c>
      <c r="D7" s="15">
        <f t="shared" si="0"/>
        <v>-367</v>
      </c>
      <c r="E7" s="16"/>
    </row>
    <row r="8" spans="1:5" x14ac:dyDescent="0.3">
      <c r="A8" s="8" t="s">
        <v>90</v>
      </c>
      <c r="B8" s="19">
        <f t="shared" si="1"/>
        <v>6953</v>
      </c>
      <c r="C8" s="83">
        <v>6586</v>
      </c>
      <c r="D8" s="15">
        <f t="shared" si="0"/>
        <v>-367</v>
      </c>
      <c r="E8" s="16"/>
    </row>
    <row r="9" spans="1:5" x14ac:dyDescent="0.3">
      <c r="A9" s="8" t="s">
        <v>29</v>
      </c>
      <c r="B9" s="19">
        <f t="shared" si="1"/>
        <v>6953</v>
      </c>
      <c r="C9" s="83">
        <v>6586</v>
      </c>
      <c r="D9" s="15">
        <f t="shared" si="0"/>
        <v>-367</v>
      </c>
      <c r="E9" s="16"/>
    </row>
    <row r="10" spans="1:5" x14ac:dyDescent="0.3">
      <c r="A10" s="8" t="s">
        <v>30</v>
      </c>
      <c r="B10" s="19">
        <f t="shared" si="1"/>
        <v>6953</v>
      </c>
      <c r="C10" s="83">
        <v>6586</v>
      </c>
      <c r="D10" s="15">
        <f t="shared" si="0"/>
        <v>-367</v>
      </c>
      <c r="E10" s="16"/>
    </row>
    <row r="11" spans="1:5" x14ac:dyDescent="0.3">
      <c r="A11" s="8" t="s">
        <v>31</v>
      </c>
      <c r="B11" s="19">
        <f t="shared" si="1"/>
        <v>6953</v>
      </c>
      <c r="C11" s="83">
        <v>6586</v>
      </c>
      <c r="D11" s="15">
        <f t="shared" si="0"/>
        <v>-367</v>
      </c>
      <c r="E11" s="16"/>
    </row>
    <row r="12" spans="1:5" x14ac:dyDescent="0.3">
      <c r="A12" s="8" t="s">
        <v>32</v>
      </c>
      <c r="B12" s="19">
        <f t="shared" si="1"/>
        <v>6953</v>
      </c>
      <c r="C12" s="83">
        <v>6586</v>
      </c>
      <c r="D12" s="15">
        <f t="shared" si="0"/>
        <v>-367</v>
      </c>
      <c r="E12" s="16"/>
    </row>
    <row r="13" spans="1:5" x14ac:dyDescent="0.3">
      <c r="A13" s="8" t="s">
        <v>33</v>
      </c>
      <c r="B13" s="19">
        <f t="shared" si="1"/>
        <v>6953</v>
      </c>
      <c r="C13" s="83">
        <v>6586</v>
      </c>
      <c r="D13" s="15">
        <f t="shared" si="0"/>
        <v>-367</v>
      </c>
      <c r="E13" s="16"/>
    </row>
    <row r="14" spans="1:5" x14ac:dyDescent="0.3">
      <c r="A14" s="8" t="s">
        <v>34</v>
      </c>
      <c r="B14" s="19">
        <f t="shared" si="1"/>
        <v>6953</v>
      </c>
      <c r="C14" s="83">
        <v>6586</v>
      </c>
      <c r="D14" s="15">
        <f t="shared" si="0"/>
        <v>-367</v>
      </c>
      <c r="E14" s="16"/>
    </row>
    <row r="15" spans="1:5" x14ac:dyDescent="0.3">
      <c r="A15" s="8" t="s">
        <v>35</v>
      </c>
      <c r="B15" s="19">
        <f t="shared" si="1"/>
        <v>6953</v>
      </c>
      <c r="C15" s="83">
        <v>6586</v>
      </c>
      <c r="D15" s="15">
        <f t="shared" si="0"/>
        <v>-367</v>
      </c>
      <c r="E15" s="16"/>
    </row>
    <row r="16" spans="1:5" x14ac:dyDescent="0.3">
      <c r="A16" s="8" t="s">
        <v>36</v>
      </c>
      <c r="B16" s="19">
        <f t="shared" si="1"/>
        <v>6953</v>
      </c>
      <c r="C16" s="83">
        <v>6586</v>
      </c>
      <c r="D16" s="15">
        <f t="shared" si="0"/>
        <v>-367</v>
      </c>
      <c r="E16" s="16"/>
    </row>
    <row r="17" spans="1:10" x14ac:dyDescent="0.3">
      <c r="A17" s="8" t="s">
        <v>37</v>
      </c>
      <c r="B17" s="19">
        <f t="shared" si="1"/>
        <v>6953</v>
      </c>
      <c r="C17" s="83">
        <v>6586</v>
      </c>
      <c r="D17" s="15">
        <f t="shared" si="0"/>
        <v>-367</v>
      </c>
      <c r="E17" s="16"/>
    </row>
    <row r="18" spans="1:10" x14ac:dyDescent="0.3">
      <c r="A18" s="8" t="s">
        <v>38</v>
      </c>
      <c r="B18" s="19">
        <f t="shared" si="1"/>
        <v>6953</v>
      </c>
      <c r="C18" s="83">
        <v>6586</v>
      </c>
      <c r="D18" s="15">
        <f t="shared" si="0"/>
        <v>-367</v>
      </c>
      <c r="E18" s="16"/>
    </row>
    <row r="19" spans="1:10" x14ac:dyDescent="0.3">
      <c r="A19" s="8" t="s">
        <v>39</v>
      </c>
      <c r="B19" s="19">
        <f t="shared" si="1"/>
        <v>6953</v>
      </c>
      <c r="C19" s="83">
        <v>6586</v>
      </c>
      <c r="D19" s="15">
        <f t="shared" si="0"/>
        <v>-367</v>
      </c>
      <c r="E19" s="16"/>
    </row>
    <row r="20" spans="1:10" x14ac:dyDescent="0.3">
      <c r="A20" s="8" t="s">
        <v>40</v>
      </c>
      <c r="B20" s="19">
        <f t="shared" si="1"/>
        <v>6953</v>
      </c>
      <c r="C20" s="83">
        <v>6586</v>
      </c>
      <c r="D20" s="15">
        <f t="shared" si="0"/>
        <v>-367</v>
      </c>
      <c r="E20" s="16"/>
      <c r="J20" s="14"/>
    </row>
    <row r="21" spans="1:10" x14ac:dyDescent="0.3">
      <c r="A21" s="8" t="s">
        <v>41</v>
      </c>
      <c r="B21" s="19">
        <f t="shared" si="1"/>
        <v>6953</v>
      </c>
      <c r="C21" s="83">
        <v>6586</v>
      </c>
      <c r="D21" s="15">
        <f t="shared" si="0"/>
        <v>-367</v>
      </c>
      <c r="E21" s="16"/>
    </row>
    <row r="22" spans="1:10" s="14" customFormat="1" x14ac:dyDescent="0.3">
      <c r="A22" s="14" t="s">
        <v>42</v>
      </c>
      <c r="B22" s="100">
        <f>SUM(B6:B21)</f>
        <v>111248</v>
      </c>
      <c r="C22" s="102">
        <f>SUM(C6:C21)</f>
        <v>105376</v>
      </c>
      <c r="D22" s="17">
        <f>SUM(D6:D21)</f>
        <v>-5872</v>
      </c>
      <c r="J22" s="8"/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"/>
  <sheetViews>
    <sheetView workbookViewId="0">
      <selection activeCell="D6" sqref="D6:D21"/>
    </sheetView>
  </sheetViews>
  <sheetFormatPr defaultRowHeight="14.4" x14ac:dyDescent="0.3"/>
  <cols>
    <col min="1" max="1" width="42.6640625" customWidth="1"/>
    <col min="2" max="2" width="14.33203125" customWidth="1"/>
    <col min="3" max="3" width="12.109375" customWidth="1"/>
    <col min="4" max="4" width="13.109375" customWidth="1"/>
    <col min="5" max="5" width="17.33203125" customWidth="1"/>
    <col min="6" max="6" width="16.6640625" customWidth="1"/>
    <col min="7" max="7" width="16.6640625" style="8" customWidth="1"/>
    <col min="8" max="8" width="15.109375" bestFit="1" customWidth="1"/>
  </cols>
  <sheetData>
    <row r="1" spans="1:14" ht="18" x14ac:dyDescent="0.35">
      <c r="A1" s="177" t="s">
        <v>100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8.8" x14ac:dyDescent="0.3">
      <c r="A2" s="1"/>
      <c r="B2" s="1" t="s">
        <v>99</v>
      </c>
      <c r="C2" s="116">
        <v>80000</v>
      </c>
      <c r="D2" s="118"/>
      <c r="E2" s="8"/>
      <c r="F2" s="8"/>
      <c r="H2" s="14"/>
      <c r="I2" s="116"/>
      <c r="J2" s="8"/>
      <c r="K2" s="8"/>
      <c r="L2" s="8"/>
      <c r="M2" s="8"/>
      <c r="N2" s="8"/>
    </row>
    <row r="3" spans="1:14" x14ac:dyDescent="0.3">
      <c r="A3" s="1"/>
      <c r="B3" s="8"/>
      <c r="C3" s="8"/>
      <c r="D3" s="8"/>
      <c r="E3" s="8"/>
      <c r="F3" s="8"/>
      <c r="H3" s="8"/>
      <c r="I3" s="7"/>
      <c r="J3" s="7"/>
      <c r="K3" s="8"/>
      <c r="L3" s="8"/>
      <c r="M3" s="8"/>
      <c r="N3" s="8"/>
    </row>
    <row r="4" spans="1:14" x14ac:dyDescent="0.3">
      <c r="A4" s="1"/>
      <c r="B4" s="119">
        <v>2021</v>
      </c>
      <c r="C4" s="119">
        <v>2021</v>
      </c>
      <c r="D4" s="119">
        <v>2020</v>
      </c>
      <c r="E4" s="20">
        <v>2020</v>
      </c>
      <c r="F4" s="20" t="s">
        <v>97</v>
      </c>
      <c r="G4" s="20">
        <v>2023</v>
      </c>
      <c r="H4" s="20">
        <v>2022</v>
      </c>
      <c r="I4" s="126"/>
      <c r="J4" s="127"/>
      <c r="K4" s="8"/>
      <c r="L4" s="8"/>
      <c r="M4" s="8"/>
      <c r="N4" s="8"/>
    </row>
    <row r="5" spans="1:14" x14ac:dyDescent="0.3">
      <c r="A5" s="120"/>
      <c r="B5" s="121" t="s">
        <v>50</v>
      </c>
      <c r="C5" s="121" t="s">
        <v>51</v>
      </c>
      <c r="D5" s="121" t="s">
        <v>98</v>
      </c>
      <c r="E5" s="121" t="s">
        <v>52</v>
      </c>
      <c r="F5" s="121" t="s">
        <v>75</v>
      </c>
      <c r="G5" s="121" t="s">
        <v>107</v>
      </c>
      <c r="H5" s="121" t="s">
        <v>107</v>
      </c>
      <c r="I5" s="128"/>
      <c r="J5" s="129"/>
      <c r="K5" s="122"/>
      <c r="L5" s="8"/>
      <c r="M5" s="8"/>
      <c r="N5" s="8"/>
    </row>
    <row r="6" spans="1:14" x14ac:dyDescent="0.3">
      <c r="A6" s="1" t="s">
        <v>57</v>
      </c>
      <c r="B6" s="101">
        <f>'Buying pool summary'!B7</f>
        <v>124362</v>
      </c>
      <c r="C6" s="36">
        <f>B6/$B$22</f>
        <v>1.9912601162585152E-2</v>
      </c>
      <c r="D6" s="60">
        <f>'Buying pool summary'!D7</f>
        <v>160279</v>
      </c>
      <c r="E6" s="36">
        <f>D6/$D$22</f>
        <v>2.7388053963073401E-2</v>
      </c>
      <c r="F6" s="85">
        <f>(($C6*3)+$E6)/4</f>
        <v>2.1781464362707212E-2</v>
      </c>
      <c r="G6" s="19">
        <f>(($C6*3)+$E6)/4*$C$2</f>
        <v>1742.5171490165769</v>
      </c>
      <c r="H6" s="123">
        <v>2080.377124640554</v>
      </c>
      <c r="I6" s="130"/>
      <c r="J6" s="131"/>
      <c r="K6" s="124"/>
      <c r="L6" s="8"/>
      <c r="M6" s="8"/>
      <c r="N6" s="8"/>
    </row>
    <row r="7" spans="1:14" x14ac:dyDescent="0.3">
      <c r="A7" s="43" t="s">
        <v>58</v>
      </c>
      <c r="B7" s="101">
        <f>'Buying pool summary'!B8</f>
        <v>619715</v>
      </c>
      <c r="C7" s="36">
        <f t="shared" ref="C7:C21" si="0">B7/$B$22</f>
        <v>9.9227558494326698E-2</v>
      </c>
      <c r="D7" s="60">
        <f>'Buying pool summary'!D8</f>
        <v>512469</v>
      </c>
      <c r="E7" s="36">
        <f t="shared" ref="E7:E22" si="1">D7/$D$22</f>
        <v>8.7569354852490108E-2</v>
      </c>
      <c r="F7" s="85">
        <f t="shared" ref="F7:F21" si="2">(($C7*3)+$E7)/4</f>
        <v>9.6313007583867558E-2</v>
      </c>
      <c r="G7" s="19">
        <f t="shared" ref="G7:G21" si="3">(($C7*3)+$E7)/4*$C$2</f>
        <v>7705.0406067094045</v>
      </c>
      <c r="H7" s="123">
        <v>9994.2107858530908</v>
      </c>
      <c r="I7" s="130"/>
      <c r="J7" s="131"/>
      <c r="K7" s="124"/>
      <c r="L7" s="8"/>
      <c r="M7" s="8"/>
      <c r="N7" s="8"/>
    </row>
    <row r="8" spans="1:14" x14ac:dyDescent="0.3">
      <c r="A8" s="1" t="s">
        <v>91</v>
      </c>
      <c r="B8" s="101">
        <f>'Buying pool summary'!B9</f>
        <v>596351</v>
      </c>
      <c r="C8" s="36">
        <f t="shared" si="0"/>
        <v>9.5486560331200981E-2</v>
      </c>
      <c r="D8" s="60">
        <f>'Buying pool summary'!D9</f>
        <v>475655</v>
      </c>
      <c r="E8" s="36">
        <f t="shared" si="1"/>
        <v>8.1278675358628885E-2</v>
      </c>
      <c r="F8" s="85">
        <f t="shared" si="2"/>
        <v>9.1934589088057961E-2</v>
      </c>
      <c r="G8" s="19">
        <f t="shared" si="3"/>
        <v>7354.7671270446372</v>
      </c>
      <c r="H8" s="123">
        <v>9144.9337599017108</v>
      </c>
      <c r="I8" s="130"/>
      <c r="J8" s="131"/>
      <c r="K8" s="124"/>
      <c r="L8" s="8"/>
      <c r="M8" s="8"/>
      <c r="N8" s="8"/>
    </row>
    <row r="9" spans="1:14" x14ac:dyDescent="0.3">
      <c r="A9" s="43" t="s">
        <v>59</v>
      </c>
      <c r="B9" s="101">
        <f>'Buying pool summary'!B10</f>
        <v>129817</v>
      </c>
      <c r="C9" s="36">
        <f t="shared" si="0"/>
        <v>2.0786045135357395E-2</v>
      </c>
      <c r="D9" s="60">
        <f>'Buying pool summary'!D10</f>
        <v>170634</v>
      </c>
      <c r="E9" s="36">
        <f t="shared" si="1"/>
        <v>2.9157489127927344E-2</v>
      </c>
      <c r="F9" s="85">
        <f t="shared" si="2"/>
        <v>2.2878906133499882E-2</v>
      </c>
      <c r="G9" s="19">
        <f t="shared" si="3"/>
        <v>1830.3124906799906</v>
      </c>
      <c r="H9" s="123">
        <v>2257.5508136483109</v>
      </c>
      <c r="I9" s="130"/>
      <c r="J9" s="131"/>
      <c r="K9" s="124"/>
      <c r="L9" s="8"/>
      <c r="M9" s="8"/>
      <c r="N9" s="8"/>
    </row>
    <row r="10" spans="1:14" x14ac:dyDescent="0.3">
      <c r="A10" s="43" t="s">
        <v>60</v>
      </c>
      <c r="B10" s="101">
        <f>'Buying pool summary'!B11</f>
        <v>227809</v>
      </c>
      <c r="C10" s="36">
        <f t="shared" si="0"/>
        <v>3.6476333270994039E-2</v>
      </c>
      <c r="D10" s="60">
        <f>'Buying pool summary'!D11</f>
        <v>288074</v>
      </c>
      <c r="E10" s="36">
        <f t="shared" si="1"/>
        <v>4.9225327443759986E-2</v>
      </c>
      <c r="F10" s="85">
        <f t="shared" si="2"/>
        <v>3.9663581814185528E-2</v>
      </c>
      <c r="G10" s="19">
        <f t="shared" si="3"/>
        <v>3173.0865451348423</v>
      </c>
      <c r="H10" s="123">
        <v>3918.844758086072</v>
      </c>
      <c r="I10" s="130"/>
      <c r="J10" s="131"/>
      <c r="K10" s="124"/>
      <c r="L10" s="8"/>
      <c r="M10" s="8"/>
      <c r="N10" s="8"/>
    </row>
    <row r="11" spans="1:14" x14ac:dyDescent="0.3">
      <c r="A11" s="43" t="s">
        <v>61</v>
      </c>
      <c r="B11" s="101">
        <f>'Buying pool summary'!B12</f>
        <v>90024</v>
      </c>
      <c r="C11" s="36">
        <f t="shared" si="0"/>
        <v>1.4414467498597365E-2</v>
      </c>
      <c r="D11" s="60">
        <f>'Buying pool summary'!D12</f>
        <v>120357</v>
      </c>
      <c r="E11" s="36">
        <f t="shared" si="1"/>
        <v>2.0566287603701203E-2</v>
      </c>
      <c r="F11" s="85">
        <f t="shared" si="2"/>
        <v>1.5952422524873326E-2</v>
      </c>
      <c r="G11" s="19">
        <f t="shared" si="3"/>
        <v>1276.1938019898662</v>
      </c>
      <c r="H11" s="123">
        <v>1469.1338806482311</v>
      </c>
      <c r="I11" s="130"/>
      <c r="J11" s="131"/>
      <c r="K11" s="124"/>
      <c r="L11" s="8"/>
      <c r="M11" s="8"/>
      <c r="N11" s="8"/>
    </row>
    <row r="12" spans="1:14" x14ac:dyDescent="0.3">
      <c r="A12" s="43" t="s">
        <v>62</v>
      </c>
      <c r="B12" s="101">
        <f>'Buying pool summary'!B13</f>
        <v>583624</v>
      </c>
      <c r="C12" s="36">
        <f t="shared" si="0"/>
        <v>9.3448737885468203E-2</v>
      </c>
      <c r="D12" s="60">
        <f>'Buying pool summary'!D13</f>
        <v>944200</v>
      </c>
      <c r="E12" s="36">
        <f t="shared" si="1"/>
        <v>0.161342412617585</v>
      </c>
      <c r="F12" s="85">
        <f t="shared" si="2"/>
        <v>0.11042215656849741</v>
      </c>
      <c r="G12" s="19">
        <f t="shared" si="3"/>
        <v>8833.7725254797933</v>
      </c>
      <c r="H12" s="123">
        <v>11083.52861967864</v>
      </c>
      <c r="I12" s="130"/>
      <c r="J12" s="131"/>
      <c r="K12" s="124"/>
      <c r="L12" s="8"/>
      <c r="M12" s="8"/>
      <c r="N12" s="8"/>
    </row>
    <row r="13" spans="1:14" x14ac:dyDescent="0.3">
      <c r="A13" s="1" t="s">
        <v>63</v>
      </c>
      <c r="B13" s="101">
        <f>'Buying pool summary'!B14</f>
        <v>458578</v>
      </c>
      <c r="C13" s="36">
        <f t="shared" si="0"/>
        <v>7.3426615975426365E-2</v>
      </c>
      <c r="D13" s="60">
        <f>'Buying pool summary'!D14</f>
        <v>429742</v>
      </c>
      <c r="E13" s="36">
        <f t="shared" si="1"/>
        <v>7.3433182676452241E-2</v>
      </c>
      <c r="F13" s="85">
        <f t="shared" si="2"/>
        <v>7.3428257650682838E-2</v>
      </c>
      <c r="G13" s="19">
        <f t="shared" si="3"/>
        <v>5874.260612054627</v>
      </c>
      <c r="H13" s="123">
        <v>7169.1077972227531</v>
      </c>
      <c r="I13" s="130"/>
      <c r="J13" s="131"/>
      <c r="K13" s="124"/>
      <c r="L13" s="8"/>
      <c r="M13" s="8"/>
      <c r="N13" s="8"/>
    </row>
    <row r="14" spans="1:14" x14ac:dyDescent="0.3">
      <c r="A14" s="43" t="s">
        <v>83</v>
      </c>
      <c r="B14" s="101">
        <f>'Buying pool summary'!B15</f>
        <v>419225</v>
      </c>
      <c r="C14" s="36">
        <f t="shared" si="0"/>
        <v>6.7125490281474728E-2</v>
      </c>
      <c r="D14" s="60">
        <f>'Buying pool summary'!D15</f>
        <v>447509</v>
      </c>
      <c r="E14" s="36">
        <f t="shared" si="1"/>
        <v>7.6469160906675326E-2</v>
      </c>
      <c r="F14" s="85">
        <f t="shared" si="2"/>
        <v>6.9461407937774874E-2</v>
      </c>
      <c r="G14" s="19">
        <f t="shared" si="3"/>
        <v>5556.9126350219904</v>
      </c>
      <c r="H14" s="123">
        <v>7042.7922360753582</v>
      </c>
      <c r="I14" s="130"/>
      <c r="J14" s="131"/>
      <c r="K14" s="124"/>
      <c r="L14" s="8"/>
      <c r="M14" s="8"/>
      <c r="N14" s="8"/>
    </row>
    <row r="15" spans="1:14" x14ac:dyDescent="0.3">
      <c r="A15" s="43" t="s">
        <v>65</v>
      </c>
      <c r="B15" s="101">
        <f>'Buying pool summary'!B16</f>
        <v>226447</v>
      </c>
      <c r="C15" s="36">
        <f t="shared" si="0"/>
        <v>3.6258252484391691E-2</v>
      </c>
      <c r="D15" s="60">
        <f>'Buying pool summary'!D16</f>
        <v>149284</v>
      </c>
      <c r="E15" s="36">
        <f t="shared" si="1"/>
        <v>2.5509257281511922E-2</v>
      </c>
      <c r="F15" s="85">
        <f t="shared" si="2"/>
        <v>3.3571003683671753E-2</v>
      </c>
      <c r="G15" s="19">
        <f t="shared" si="3"/>
        <v>2685.6802946937401</v>
      </c>
      <c r="H15" s="123">
        <v>3176.5246747769816</v>
      </c>
      <c r="I15" s="130"/>
      <c r="J15" s="131"/>
      <c r="K15" s="124"/>
      <c r="L15" s="8"/>
      <c r="M15" s="8"/>
      <c r="N15" s="8"/>
    </row>
    <row r="16" spans="1:14" x14ac:dyDescent="0.3">
      <c r="A16" s="43" t="s">
        <v>82</v>
      </c>
      <c r="B16" s="101">
        <f>'Buying pool summary'!B17</f>
        <v>224850</v>
      </c>
      <c r="C16" s="36">
        <f t="shared" si="0"/>
        <v>3.6002543955607591E-2</v>
      </c>
      <c r="D16" s="60">
        <f>'Buying pool summary'!D17</f>
        <v>251216</v>
      </c>
      <c r="E16" s="36">
        <f t="shared" si="1"/>
        <v>4.2927129345625113E-2</v>
      </c>
      <c r="F16" s="85">
        <f t="shared" si="2"/>
        <v>3.7733690303111973E-2</v>
      </c>
      <c r="G16" s="19">
        <f t="shared" si="3"/>
        <v>3018.6952242489579</v>
      </c>
      <c r="H16" s="123">
        <v>4080.5357740641862</v>
      </c>
      <c r="I16" s="130"/>
      <c r="J16" s="131"/>
      <c r="K16" s="124"/>
      <c r="L16" s="8"/>
      <c r="M16" s="8"/>
      <c r="N16" s="8"/>
    </row>
    <row r="17" spans="1:14" x14ac:dyDescent="0.3">
      <c r="A17" s="43" t="s">
        <v>67</v>
      </c>
      <c r="B17" s="101">
        <f>'Buying pool summary'!B18</f>
        <v>1469484</v>
      </c>
      <c r="C17" s="36">
        <f t="shared" si="0"/>
        <v>0.23529091528602208</v>
      </c>
      <c r="D17" s="60">
        <f>'Buying pool summary'!D18</f>
        <v>868837</v>
      </c>
      <c r="E17" s="36">
        <f t="shared" si="1"/>
        <v>0.14846458139316321</v>
      </c>
      <c r="F17" s="85">
        <f t="shared" si="2"/>
        <v>0.21358433181280737</v>
      </c>
      <c r="G17" s="19">
        <f t="shared" si="3"/>
        <v>17086.746545024591</v>
      </c>
      <c r="H17" s="123">
        <v>21085.624779808586</v>
      </c>
      <c r="I17" s="130"/>
      <c r="J17" s="131"/>
      <c r="K17" s="124"/>
      <c r="L17" s="8"/>
      <c r="M17" s="8"/>
      <c r="N17" s="8"/>
    </row>
    <row r="18" spans="1:14" x14ac:dyDescent="0.3">
      <c r="A18" s="43" t="s">
        <v>68</v>
      </c>
      <c r="B18" s="101">
        <f>'Buying pool summary'!B19</f>
        <v>131453</v>
      </c>
      <c r="C18" s="36">
        <f t="shared" si="0"/>
        <v>2.104799826816315E-2</v>
      </c>
      <c r="D18" s="60">
        <f>'Buying pool summary'!D19</f>
        <v>128538</v>
      </c>
      <c r="E18" s="36">
        <f t="shared" si="1"/>
        <v>2.196423536648924E-2</v>
      </c>
      <c r="F18" s="85">
        <f t="shared" si="2"/>
        <v>2.1277057542744674E-2</v>
      </c>
      <c r="G18" s="19">
        <f t="shared" si="3"/>
        <v>1702.164603419574</v>
      </c>
      <c r="H18" s="123">
        <v>2048.3726795699417</v>
      </c>
      <c r="I18" s="130"/>
      <c r="J18" s="131"/>
      <c r="K18" s="124"/>
      <c r="L18" s="8"/>
      <c r="M18" s="8"/>
      <c r="N18" s="8"/>
    </row>
    <row r="19" spans="1:14" x14ac:dyDescent="0.3">
      <c r="A19" s="43" t="s">
        <v>69</v>
      </c>
      <c r="B19" s="101">
        <f>'Buying pool summary'!B20</f>
        <v>323820</v>
      </c>
      <c r="C19" s="36">
        <f t="shared" si="0"/>
        <v>5.1849427545941074E-2</v>
      </c>
      <c r="D19" s="60">
        <f>'Buying pool summary'!D20</f>
        <v>289795</v>
      </c>
      <c r="E19" s="36">
        <f t="shared" si="1"/>
        <v>4.9519407397281341E-2</v>
      </c>
      <c r="F19" s="85">
        <f t="shared" si="2"/>
        <v>5.1266922508776139E-2</v>
      </c>
      <c r="G19" s="19">
        <f t="shared" si="3"/>
        <v>4101.3538007020907</v>
      </c>
      <c r="H19" s="123">
        <v>4887.4158204579662</v>
      </c>
      <c r="I19" s="130"/>
      <c r="J19" s="131"/>
      <c r="K19" s="124"/>
      <c r="L19" s="8"/>
      <c r="M19" s="8"/>
      <c r="N19" s="8"/>
    </row>
    <row r="20" spans="1:14" x14ac:dyDescent="0.3">
      <c r="A20" s="43" t="s">
        <v>70</v>
      </c>
      <c r="B20" s="101">
        <f>'Buying pool summary'!B21</f>
        <v>308670</v>
      </c>
      <c r="C20" s="36">
        <f t="shared" si="0"/>
        <v>4.9423639060606601E-2</v>
      </c>
      <c r="D20" s="60">
        <f>'Buying pool summary'!D21</f>
        <v>331472</v>
      </c>
      <c r="E20" s="36">
        <f t="shared" si="1"/>
        <v>5.6641063540749978E-2</v>
      </c>
      <c r="F20" s="85">
        <f t="shared" si="2"/>
        <v>5.1227995180642444E-2</v>
      </c>
      <c r="G20" s="19">
        <f t="shared" si="3"/>
        <v>4098.2396144513959</v>
      </c>
      <c r="H20" s="123">
        <v>5910.2367992906384</v>
      </c>
      <c r="I20" s="130"/>
      <c r="J20" s="131"/>
      <c r="K20" s="124"/>
      <c r="L20" s="8"/>
      <c r="M20" s="8"/>
      <c r="N20" s="8"/>
    </row>
    <row r="21" spans="1:14" x14ac:dyDescent="0.3">
      <c r="A21" s="43" t="s">
        <v>71</v>
      </c>
      <c r="B21" s="101">
        <f>'Buying pool summary'!B22</f>
        <v>311163</v>
      </c>
      <c r="C21" s="36">
        <f t="shared" si="0"/>
        <v>4.9822813363836892E-2</v>
      </c>
      <c r="D21" s="60">
        <f>'Buying pool summary'!D22</f>
        <v>284089</v>
      </c>
      <c r="E21" s="36">
        <f t="shared" si="1"/>
        <v>4.8544381124885724E-2</v>
      </c>
      <c r="F21" s="85">
        <f t="shared" si="2"/>
        <v>4.9503205304099102E-2</v>
      </c>
      <c r="G21" s="19">
        <f t="shared" si="3"/>
        <v>3960.256424327928</v>
      </c>
      <c r="H21" s="123">
        <v>4650.8096962769787</v>
      </c>
      <c r="I21" s="130"/>
      <c r="J21" s="131"/>
      <c r="K21" s="124"/>
      <c r="L21" s="8"/>
      <c r="M21" s="8"/>
      <c r="N21" s="8"/>
    </row>
    <row r="22" spans="1:14" x14ac:dyDescent="0.3">
      <c r="A22" s="12" t="s">
        <v>72</v>
      </c>
      <c r="B22" s="35">
        <f>SUM(B6:B21)</f>
        <v>6245392</v>
      </c>
      <c r="C22" s="36">
        <f>B22/$B$22</f>
        <v>1</v>
      </c>
      <c r="D22" s="35">
        <f>SUM(D6:D21)</f>
        <v>5852150</v>
      </c>
      <c r="E22" s="36">
        <f t="shared" si="1"/>
        <v>1</v>
      </c>
      <c r="F22" s="36">
        <f>SUM(F6:F21)</f>
        <v>1</v>
      </c>
      <c r="G22" s="158">
        <f>SUM(G6:G21)</f>
        <v>80000</v>
      </c>
      <c r="H22" s="123">
        <f>SUM(H6:H21)</f>
        <v>100000.00000000001</v>
      </c>
      <c r="I22" s="132"/>
      <c r="J22" s="133"/>
      <c r="K22" s="125"/>
      <c r="L22" s="8"/>
      <c r="M22" s="8"/>
      <c r="N22" s="8"/>
    </row>
    <row r="23" spans="1:14" x14ac:dyDescent="0.3">
      <c r="I23" s="7"/>
      <c r="J23" s="7"/>
    </row>
    <row r="24" spans="1:14" x14ac:dyDescent="0.3">
      <c r="I24" s="7"/>
      <c r="J24" s="7"/>
    </row>
    <row r="25" spans="1:14" x14ac:dyDescent="0.3">
      <c r="I25" s="7"/>
      <c r="J25" s="7"/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41"/>
  <sheetViews>
    <sheetView tabSelected="1" zoomScaleNormal="100" workbookViewId="0">
      <selection activeCell="E27" sqref="E27"/>
    </sheetView>
  </sheetViews>
  <sheetFormatPr defaultColWidth="9.33203125" defaultRowHeight="14.4" x14ac:dyDescent="0.3"/>
  <cols>
    <col min="1" max="1" width="38.44140625" style="41" customWidth="1"/>
    <col min="2" max="2" width="11.6640625" style="33" customWidth="1"/>
    <col min="3" max="3" width="9.6640625" style="33" customWidth="1"/>
    <col min="4" max="4" width="13.6640625" style="33" customWidth="1"/>
    <col min="5" max="6" width="15.33203125" style="33" customWidth="1"/>
    <col min="7" max="7" width="17.6640625" style="33" customWidth="1"/>
    <col min="8" max="8" width="15.44140625" style="33" customWidth="1"/>
    <col min="9" max="9" width="16.5546875" style="33" customWidth="1"/>
    <col min="10" max="10" width="22.6640625" style="33" bestFit="1" customWidth="1"/>
    <col min="11" max="11" width="26.6640625" style="33" customWidth="1"/>
    <col min="12" max="12" width="14.33203125" style="33" bestFit="1" customWidth="1"/>
    <col min="13" max="13" width="10.5546875" style="33" bestFit="1" customWidth="1"/>
    <col min="14" max="16384" width="9.33203125" style="33"/>
  </cols>
  <sheetData>
    <row r="2" spans="1:13" x14ac:dyDescent="0.3">
      <c r="D2" s="59"/>
      <c r="G2" s="26" t="s">
        <v>44</v>
      </c>
      <c r="H2" s="116">
        <v>1250166</v>
      </c>
      <c r="I2" s="33" t="s">
        <v>45</v>
      </c>
    </row>
    <row r="3" spans="1:13" x14ac:dyDescent="0.3">
      <c r="D3" s="59"/>
      <c r="G3" s="26" t="s">
        <v>46</v>
      </c>
      <c r="H3" s="116">
        <v>157500</v>
      </c>
      <c r="I3" s="33" t="s">
        <v>47</v>
      </c>
    </row>
    <row r="4" spans="1:13" x14ac:dyDescent="0.3">
      <c r="G4" s="166" t="s">
        <v>85</v>
      </c>
      <c r="H4" s="167">
        <f>SUM(H2:H3)</f>
        <v>1407666</v>
      </c>
    </row>
    <row r="5" spans="1:13" x14ac:dyDescent="0.3">
      <c r="B5" s="72">
        <v>2021</v>
      </c>
      <c r="C5" s="72">
        <v>2021</v>
      </c>
      <c r="D5" s="72">
        <v>2020</v>
      </c>
      <c r="E5" s="39">
        <v>2020</v>
      </c>
      <c r="F5" s="39" t="s">
        <v>44</v>
      </c>
      <c r="G5" s="26" t="s">
        <v>48</v>
      </c>
      <c r="H5" s="72">
        <v>2021</v>
      </c>
      <c r="I5" s="21">
        <v>2021</v>
      </c>
      <c r="J5" s="26" t="s">
        <v>46</v>
      </c>
      <c r="K5" s="22">
        <v>2023</v>
      </c>
      <c r="L5" s="23">
        <v>2022</v>
      </c>
    </row>
    <row r="6" spans="1:13" x14ac:dyDescent="0.3">
      <c r="A6" s="40"/>
      <c r="B6" s="25" t="s">
        <v>50</v>
      </c>
      <c r="C6" s="25" t="s">
        <v>51</v>
      </c>
      <c r="D6" s="178" t="s">
        <v>93</v>
      </c>
      <c r="E6" s="25" t="s">
        <v>52</v>
      </c>
      <c r="F6" s="25" t="s">
        <v>75</v>
      </c>
      <c r="G6" s="66" t="s">
        <v>53</v>
      </c>
      <c r="H6" s="67" t="s">
        <v>54</v>
      </c>
      <c r="I6" s="68" t="s">
        <v>55</v>
      </c>
      <c r="J6" s="68" t="s">
        <v>56</v>
      </c>
      <c r="K6" s="69" t="s">
        <v>89</v>
      </c>
      <c r="L6" s="70" t="s">
        <v>88</v>
      </c>
      <c r="M6" s="71" t="s">
        <v>78</v>
      </c>
    </row>
    <row r="7" spans="1:13" x14ac:dyDescent="0.3">
      <c r="A7" s="41" t="s">
        <v>57</v>
      </c>
      <c r="B7" s="101">
        <v>124362</v>
      </c>
      <c r="C7" s="36">
        <f t="shared" ref="C7:C22" si="0">B7/$B$23</f>
        <v>1.9912601162585152E-2</v>
      </c>
      <c r="D7" s="60">
        <v>160279</v>
      </c>
      <c r="E7" s="36">
        <f t="shared" ref="E7:E22" si="1">D7/$D$23</f>
        <v>2.7388053963073401E-2</v>
      </c>
      <c r="F7" s="84">
        <f>(($C7*3)+$E7)/4</f>
        <v>2.1781464362707212E-2</v>
      </c>
      <c r="G7" s="28">
        <f>(($C7*3)+$E7)/4*$H$2</f>
        <v>27230.446176468224</v>
      </c>
      <c r="H7" s="31">
        <v>60123</v>
      </c>
      <c r="I7" s="85">
        <f t="shared" ref="I7:I22" si="2">H7/$H$23</f>
        <v>1.7529506676303722E-2</v>
      </c>
      <c r="J7" s="28">
        <f>I7*$H$3</f>
        <v>2760.8973015178362</v>
      </c>
      <c r="K7" s="61">
        <f>G7+J7</f>
        <v>29991.343477986062</v>
      </c>
      <c r="L7" s="55">
        <v>27350.751878782783</v>
      </c>
      <c r="M7" s="75">
        <f>K7-L7</f>
        <v>2640.5915992032787</v>
      </c>
    </row>
    <row r="8" spans="1:13" x14ac:dyDescent="0.3">
      <c r="A8" s="43" t="s">
        <v>58</v>
      </c>
      <c r="B8" s="101">
        <v>619715</v>
      </c>
      <c r="C8" s="36">
        <f t="shared" si="0"/>
        <v>9.9227558494326698E-2</v>
      </c>
      <c r="D8" s="60">
        <v>512469</v>
      </c>
      <c r="E8" s="36">
        <f t="shared" si="1"/>
        <v>8.7569354852490108E-2</v>
      </c>
      <c r="F8" s="84">
        <f t="shared" ref="F8:F22" si="3">(($C8*3)+$E8)/4</f>
        <v>9.6313007583867558E-2</v>
      </c>
      <c r="G8" s="28">
        <f>((C8*3)+E8)/4*$H$2</f>
        <v>120407.24743909336</v>
      </c>
      <c r="H8" s="31">
        <v>383195</v>
      </c>
      <c r="I8" s="85">
        <f t="shared" si="2"/>
        <v>0.11172461971003117</v>
      </c>
      <c r="J8" s="28">
        <f t="shared" ref="J8:J22" si="4">I8*$H$3</f>
        <v>17596.627604329908</v>
      </c>
      <c r="K8" s="61">
        <f t="shared" ref="K8:K22" si="5">G8+J8</f>
        <v>138003.87504342326</v>
      </c>
      <c r="L8" s="55">
        <v>135337.73874952793</v>
      </c>
      <c r="M8" s="75">
        <f t="shared" ref="M8:M22" si="6">K8-L8</f>
        <v>2666.1362938953389</v>
      </c>
    </row>
    <row r="9" spans="1:13" x14ac:dyDescent="0.3">
      <c r="A9" s="41" t="s">
        <v>91</v>
      </c>
      <c r="B9" s="101">
        <v>596351</v>
      </c>
      <c r="C9" s="36">
        <f t="shared" si="0"/>
        <v>9.5486560331200981E-2</v>
      </c>
      <c r="D9" s="60">
        <v>475655</v>
      </c>
      <c r="E9" s="36">
        <f t="shared" si="1"/>
        <v>8.1278675358628885E-2</v>
      </c>
      <c r="F9" s="84">
        <f t="shared" si="3"/>
        <v>9.1934589088057961E-2</v>
      </c>
      <c r="G9" s="28">
        <f t="shared" ref="G9:G22" si="7">((C9*3)+E9)/4*$H$2</f>
        <v>114933.49750186107</v>
      </c>
      <c r="H9" s="31">
        <v>323186</v>
      </c>
      <c r="I9" s="85">
        <f t="shared" si="2"/>
        <v>9.4228350958666302E-2</v>
      </c>
      <c r="J9" s="28">
        <f t="shared" si="4"/>
        <v>14840.965275989942</v>
      </c>
      <c r="K9" s="61">
        <f t="shared" si="5"/>
        <v>129774.46277785102</v>
      </c>
      <c r="L9" s="55">
        <v>122310.0509292764</v>
      </c>
      <c r="M9" s="75">
        <f t="shared" si="6"/>
        <v>7464.4118485746149</v>
      </c>
    </row>
    <row r="10" spans="1:13" x14ac:dyDescent="0.3">
      <c r="A10" s="43" t="s">
        <v>59</v>
      </c>
      <c r="B10" s="101">
        <v>129817</v>
      </c>
      <c r="C10" s="36">
        <f t="shared" si="0"/>
        <v>2.0786045135357395E-2</v>
      </c>
      <c r="D10" s="60">
        <v>170634</v>
      </c>
      <c r="E10" s="36">
        <f t="shared" si="1"/>
        <v>2.9157489127927344E-2</v>
      </c>
      <c r="F10" s="84">
        <f t="shared" si="3"/>
        <v>2.2878906133499882E-2</v>
      </c>
      <c r="G10" s="28">
        <f t="shared" si="7"/>
        <v>28602.430565293012</v>
      </c>
      <c r="H10" s="31">
        <v>72995</v>
      </c>
      <c r="I10" s="85">
        <f t="shared" si="2"/>
        <v>2.128247658694327E-2</v>
      </c>
      <c r="J10" s="28">
        <f t="shared" si="4"/>
        <v>3351.990062443565</v>
      </c>
      <c r="K10" s="61">
        <f t="shared" si="5"/>
        <v>31954.420627736577</v>
      </c>
      <c r="L10" s="55">
        <v>29926.973723724972</v>
      </c>
      <c r="M10" s="75">
        <f t="shared" si="6"/>
        <v>2027.4469040116055</v>
      </c>
    </row>
    <row r="11" spans="1:13" x14ac:dyDescent="0.3">
      <c r="A11" s="43" t="s">
        <v>60</v>
      </c>
      <c r="B11" s="101">
        <v>227809</v>
      </c>
      <c r="C11" s="36">
        <f t="shared" si="0"/>
        <v>3.6476333270994039E-2</v>
      </c>
      <c r="D11" s="60">
        <v>288074</v>
      </c>
      <c r="E11" s="36">
        <f t="shared" si="1"/>
        <v>4.9225327443759986E-2</v>
      </c>
      <c r="F11" s="84">
        <f t="shared" si="3"/>
        <v>3.9663581814185528E-2</v>
      </c>
      <c r="G11" s="28">
        <f t="shared" si="7"/>
        <v>49586.061422313061</v>
      </c>
      <c r="H11" s="31">
        <v>123953</v>
      </c>
      <c r="I11" s="85">
        <f t="shared" si="2"/>
        <v>3.6139829034610299E-2</v>
      </c>
      <c r="J11" s="28">
        <f t="shared" si="4"/>
        <v>5692.0230729511222</v>
      </c>
      <c r="K11" s="61">
        <f t="shared" si="5"/>
        <v>55278.084495264186</v>
      </c>
      <c r="L11" s="55">
        <v>51954.098316213378</v>
      </c>
      <c r="M11" s="75">
        <f t="shared" si="6"/>
        <v>3323.9861790508076</v>
      </c>
    </row>
    <row r="12" spans="1:13" x14ac:dyDescent="0.3">
      <c r="A12" s="43" t="s">
        <v>61</v>
      </c>
      <c r="B12" s="101">
        <v>90024</v>
      </c>
      <c r="C12" s="36">
        <f t="shared" si="0"/>
        <v>1.4414467498597365E-2</v>
      </c>
      <c r="D12" s="60">
        <v>120357</v>
      </c>
      <c r="E12" s="36">
        <f t="shared" si="1"/>
        <v>2.0566287603701203E-2</v>
      </c>
      <c r="F12" s="84">
        <f t="shared" si="3"/>
        <v>1.5952422524873326E-2</v>
      </c>
      <c r="G12" s="28">
        <f t="shared" si="7"/>
        <v>19943.176258230786</v>
      </c>
      <c r="H12" s="31">
        <v>43883</v>
      </c>
      <c r="I12" s="85">
        <f t="shared" si="2"/>
        <v>1.2794560176242638E-2</v>
      </c>
      <c r="J12" s="28">
        <f t="shared" si="4"/>
        <v>2015.1432277582155</v>
      </c>
      <c r="K12" s="61">
        <f t="shared" si="5"/>
        <v>21958.319485989003</v>
      </c>
      <c r="L12" s="55">
        <v>19296.961310976523</v>
      </c>
      <c r="M12" s="75">
        <f t="shared" si="6"/>
        <v>2661.3581750124795</v>
      </c>
    </row>
    <row r="13" spans="1:13" ht="16.2" customHeight="1" x14ac:dyDescent="0.3">
      <c r="A13" s="43" t="s">
        <v>62</v>
      </c>
      <c r="B13" s="101">
        <v>583624</v>
      </c>
      <c r="C13" s="36">
        <f t="shared" si="0"/>
        <v>9.3448737885468203E-2</v>
      </c>
      <c r="D13" s="60">
        <v>944200</v>
      </c>
      <c r="E13" s="36">
        <f t="shared" si="1"/>
        <v>0.161342412617585</v>
      </c>
      <c r="F13" s="84">
        <f t="shared" si="3"/>
        <v>0.11042215656849741</v>
      </c>
      <c r="G13" s="28">
        <f t="shared" si="7"/>
        <v>138046.02578861214</v>
      </c>
      <c r="H13" s="31">
        <v>354978</v>
      </c>
      <c r="I13" s="85">
        <f t="shared" si="2"/>
        <v>0.10349765016617504</v>
      </c>
      <c r="J13" s="28">
        <f t="shared" si="4"/>
        <v>16300.87990117257</v>
      </c>
      <c r="K13" s="61">
        <f t="shared" si="5"/>
        <v>154346.9056897847</v>
      </c>
      <c r="L13" s="55">
        <v>147215.37822912063</v>
      </c>
      <c r="M13" s="75">
        <f t="shared" si="6"/>
        <v>7131.5274606640742</v>
      </c>
    </row>
    <row r="14" spans="1:13" x14ac:dyDescent="0.3">
      <c r="A14" s="41" t="s">
        <v>63</v>
      </c>
      <c r="B14" s="101">
        <v>458578</v>
      </c>
      <c r="C14" s="36">
        <f t="shared" si="0"/>
        <v>7.3426615975426365E-2</v>
      </c>
      <c r="D14" s="60">
        <v>429742</v>
      </c>
      <c r="E14" s="36">
        <f t="shared" si="1"/>
        <v>7.3433182676452241E-2</v>
      </c>
      <c r="F14" s="84">
        <f t="shared" si="3"/>
        <v>7.3428257650682838E-2</v>
      </c>
      <c r="G14" s="28">
        <f>((C14*3)+E14)/4*$H$2</f>
        <v>91797.511154123567</v>
      </c>
      <c r="H14" s="31">
        <v>245811</v>
      </c>
      <c r="I14" s="85">
        <f t="shared" si="2"/>
        <v>7.1668838308282926E-2</v>
      </c>
      <c r="J14" s="28">
        <f>I14*$H$3</f>
        <v>11287.842033554562</v>
      </c>
      <c r="K14" s="61">
        <f t="shared" si="5"/>
        <v>103085.35318767813</v>
      </c>
      <c r="L14" s="55">
        <v>95878.433895062859</v>
      </c>
      <c r="M14" s="75">
        <f t="shared" si="6"/>
        <v>7206.9192926152755</v>
      </c>
    </row>
    <row r="15" spans="1:13" x14ac:dyDescent="0.3">
      <c r="A15" s="43" t="s">
        <v>64</v>
      </c>
      <c r="B15" s="101">
        <v>419225</v>
      </c>
      <c r="C15" s="36">
        <f t="shared" si="0"/>
        <v>6.7125490281474728E-2</v>
      </c>
      <c r="D15" s="101">
        <v>447509</v>
      </c>
      <c r="E15" s="36">
        <f t="shared" si="1"/>
        <v>7.6469160906675326E-2</v>
      </c>
      <c r="F15" s="84">
        <f t="shared" si="3"/>
        <v>6.9461407937774874E-2</v>
      </c>
      <c r="G15" s="28">
        <f>((C15*3)+E15)/4*$H$2</f>
        <v>86838.290515936271</v>
      </c>
      <c r="H15" s="31">
        <v>232915</v>
      </c>
      <c r="I15" s="85">
        <f t="shared" si="2"/>
        <v>6.7908870939761515E-2</v>
      </c>
      <c r="J15" s="28">
        <f t="shared" si="4"/>
        <v>10695.647173012439</v>
      </c>
      <c r="K15" s="61">
        <f t="shared" si="5"/>
        <v>97533.937688948703</v>
      </c>
      <c r="L15" s="55">
        <v>93911.700154904422</v>
      </c>
      <c r="M15" s="75">
        <f t="shared" si="6"/>
        <v>3622.2375340442813</v>
      </c>
    </row>
    <row r="16" spans="1:13" x14ac:dyDescent="0.3">
      <c r="A16" s="43" t="s">
        <v>65</v>
      </c>
      <c r="B16" s="101">
        <v>226447</v>
      </c>
      <c r="C16" s="36">
        <f t="shared" si="0"/>
        <v>3.6258252484391691E-2</v>
      </c>
      <c r="D16" s="60">
        <v>149284</v>
      </c>
      <c r="E16" s="36">
        <f t="shared" si="1"/>
        <v>2.5509257281511922E-2</v>
      </c>
      <c r="F16" s="84">
        <f t="shared" si="3"/>
        <v>3.3571003683671753E-2</v>
      </c>
      <c r="G16" s="28">
        <f t="shared" si="7"/>
        <v>41969.327391201179</v>
      </c>
      <c r="H16" s="31">
        <v>109697</v>
      </c>
      <c r="I16" s="85">
        <f t="shared" si="2"/>
        <v>3.1983339052783284E-2</v>
      </c>
      <c r="J16" s="28">
        <f t="shared" si="4"/>
        <v>5037.3759008133675</v>
      </c>
      <c r="K16" s="61">
        <f t="shared" si="5"/>
        <v>47006.703292014543</v>
      </c>
      <c r="L16" s="55">
        <v>42323.479185854063</v>
      </c>
      <c r="M16" s="75">
        <f t="shared" si="6"/>
        <v>4683.22410616048</v>
      </c>
    </row>
    <row r="17" spans="1:13" ht="15.6" customHeight="1" x14ac:dyDescent="0.3">
      <c r="A17" s="43" t="s">
        <v>66</v>
      </c>
      <c r="B17" s="101">
        <v>224850</v>
      </c>
      <c r="C17" s="36">
        <f t="shared" si="0"/>
        <v>3.6002543955607591E-2</v>
      </c>
      <c r="D17" s="101">
        <v>251216</v>
      </c>
      <c r="E17" s="36">
        <f t="shared" si="1"/>
        <v>4.2927129345625113E-2</v>
      </c>
      <c r="F17" s="84">
        <f t="shared" si="3"/>
        <v>3.7733690303111973E-2</v>
      </c>
      <c r="G17" s="28">
        <f t="shared" si="7"/>
        <v>47173.376671480284</v>
      </c>
      <c r="H17" s="31">
        <v>124923</v>
      </c>
      <c r="I17" s="85">
        <f t="shared" si="2"/>
        <v>3.6422642957335626E-2</v>
      </c>
      <c r="J17" s="28">
        <f t="shared" si="4"/>
        <v>5736.5662657803614</v>
      </c>
      <c r="K17" s="61">
        <f t="shared" si="5"/>
        <v>52909.942937260646</v>
      </c>
      <c r="L17" s="55">
        <v>54468.68259594198</v>
      </c>
      <c r="M17" s="75">
        <f t="shared" si="6"/>
        <v>-1558.7396586813338</v>
      </c>
    </row>
    <row r="18" spans="1:13" x14ac:dyDescent="0.3">
      <c r="A18" s="43" t="s">
        <v>67</v>
      </c>
      <c r="B18" s="101">
        <v>1469484</v>
      </c>
      <c r="C18" s="36">
        <f t="shared" si="0"/>
        <v>0.23529091528602208</v>
      </c>
      <c r="D18" s="60">
        <v>868837</v>
      </c>
      <c r="E18" s="36">
        <f t="shared" si="1"/>
        <v>0.14846458139316321</v>
      </c>
      <c r="F18" s="84">
        <f t="shared" si="3"/>
        <v>0.21358433181280737</v>
      </c>
      <c r="G18" s="28">
        <f t="shared" si="7"/>
        <v>267015.86976509012</v>
      </c>
      <c r="H18" s="31">
        <v>844341</v>
      </c>
      <c r="I18" s="85">
        <f t="shared" si="2"/>
        <v>0.24617669105961046</v>
      </c>
      <c r="J18" s="28">
        <f t="shared" si="4"/>
        <v>38772.828841888644</v>
      </c>
      <c r="K18" s="61">
        <f t="shared" si="5"/>
        <v>305788.69860697875</v>
      </c>
      <c r="L18" s="55">
        <v>288430.92688579904</v>
      </c>
      <c r="M18" s="75">
        <f t="shared" si="6"/>
        <v>17357.771721179713</v>
      </c>
    </row>
    <row r="19" spans="1:13" x14ac:dyDescent="0.3">
      <c r="A19" s="43" t="s">
        <v>68</v>
      </c>
      <c r="B19" s="101">
        <v>131453</v>
      </c>
      <c r="C19" s="36">
        <f t="shared" si="0"/>
        <v>2.104799826816315E-2</v>
      </c>
      <c r="D19" s="60">
        <v>128538</v>
      </c>
      <c r="E19" s="36">
        <f t="shared" si="1"/>
        <v>2.196423536648924E-2</v>
      </c>
      <c r="F19" s="84">
        <f t="shared" si="3"/>
        <v>2.1277057542744674E-2</v>
      </c>
      <c r="G19" s="28">
        <f t="shared" si="7"/>
        <v>26599.853919982939</v>
      </c>
      <c r="H19" s="31">
        <v>60320</v>
      </c>
      <c r="I19" s="85">
        <f t="shared" si="2"/>
        <v>1.7586944143084017E-2</v>
      </c>
      <c r="J19" s="28">
        <f t="shared" si="4"/>
        <v>2769.9437025357329</v>
      </c>
      <c r="K19" s="61">
        <f t="shared" si="5"/>
        <v>29369.797622518672</v>
      </c>
      <c r="L19" s="55">
        <v>27061.75800225222</v>
      </c>
      <c r="M19" s="75">
        <f t="shared" si="6"/>
        <v>2308.0396202664524</v>
      </c>
    </row>
    <row r="20" spans="1:13" x14ac:dyDescent="0.3">
      <c r="A20" s="43" t="s">
        <v>69</v>
      </c>
      <c r="B20" s="101">
        <v>323820</v>
      </c>
      <c r="C20" s="36">
        <f t="shared" si="0"/>
        <v>5.1849427545941074E-2</v>
      </c>
      <c r="D20" s="60">
        <v>289795</v>
      </c>
      <c r="E20" s="36">
        <f t="shared" si="1"/>
        <v>4.9519407397281341E-2</v>
      </c>
      <c r="F20" s="84">
        <f t="shared" si="3"/>
        <v>5.1266922508776139E-2</v>
      </c>
      <c r="G20" s="28">
        <f t="shared" si="7"/>
        <v>64092.163445106627</v>
      </c>
      <c r="H20" s="31">
        <v>151474</v>
      </c>
      <c r="I20" s="85">
        <f t="shared" si="2"/>
        <v>4.4163872299892382E-2</v>
      </c>
      <c r="J20" s="28">
        <f t="shared" si="4"/>
        <v>6955.8098872330502</v>
      </c>
      <c r="K20" s="61">
        <f t="shared" si="5"/>
        <v>71047.973332339679</v>
      </c>
      <c r="L20" s="55">
        <v>64858.990192979429</v>
      </c>
      <c r="M20" s="75">
        <f t="shared" si="6"/>
        <v>6188.9831393602508</v>
      </c>
    </row>
    <row r="21" spans="1:13" x14ac:dyDescent="0.3">
      <c r="A21" s="43" t="s">
        <v>70</v>
      </c>
      <c r="B21" s="101">
        <v>308670</v>
      </c>
      <c r="C21" s="36">
        <f t="shared" si="0"/>
        <v>4.9423639060606601E-2</v>
      </c>
      <c r="D21" s="60">
        <v>331472</v>
      </c>
      <c r="E21" s="36">
        <f t="shared" si="1"/>
        <v>5.6641063540749978E-2</v>
      </c>
      <c r="F21" s="84">
        <f t="shared" si="3"/>
        <v>5.1227995180642444E-2</v>
      </c>
      <c r="G21" s="28">
        <f t="shared" si="7"/>
        <v>64043.497823003039</v>
      </c>
      <c r="H21" s="31">
        <v>156233</v>
      </c>
      <c r="I21" s="85">
        <f t="shared" si="2"/>
        <v>4.5551409885716931E-2</v>
      </c>
      <c r="J21" s="28">
        <f t="shared" si="4"/>
        <v>7174.3470570004165</v>
      </c>
      <c r="K21" s="61">
        <f t="shared" si="5"/>
        <v>71217.844880003453</v>
      </c>
      <c r="L21" s="55">
        <v>79132.850077864336</v>
      </c>
      <c r="M21" s="75">
        <f t="shared" si="6"/>
        <v>-7915.0051978608826</v>
      </c>
    </row>
    <row r="22" spans="1:13" x14ac:dyDescent="0.3">
      <c r="A22" s="43" t="s">
        <v>71</v>
      </c>
      <c r="B22" s="101">
        <v>311163</v>
      </c>
      <c r="C22" s="36">
        <f t="shared" si="0"/>
        <v>4.9822813363836892E-2</v>
      </c>
      <c r="D22" s="60">
        <v>284089</v>
      </c>
      <c r="E22" s="36">
        <f t="shared" si="1"/>
        <v>4.8544381124885724E-2</v>
      </c>
      <c r="F22" s="84">
        <f t="shared" si="3"/>
        <v>4.9503205304099102E-2</v>
      </c>
      <c r="G22" s="28">
        <f t="shared" si="7"/>
        <v>61887.224162204358</v>
      </c>
      <c r="H22" s="31">
        <v>141790</v>
      </c>
      <c r="I22" s="85">
        <f t="shared" si="2"/>
        <v>4.1340398044560397E-2</v>
      </c>
      <c r="J22" s="28">
        <f t="shared" si="4"/>
        <v>6511.1126920182624</v>
      </c>
      <c r="K22" s="61">
        <f t="shared" si="5"/>
        <v>68398.336854222624</v>
      </c>
      <c r="L22" s="55">
        <v>61485.225871719056</v>
      </c>
      <c r="M22" s="75">
        <f t="shared" si="6"/>
        <v>6913.1109825035674</v>
      </c>
    </row>
    <row r="23" spans="1:13" x14ac:dyDescent="0.3">
      <c r="A23" s="44" t="s">
        <v>72</v>
      </c>
      <c r="B23" s="35">
        <f t="shared" ref="B23:L23" si="8">SUM(B7:B22)</f>
        <v>6245392</v>
      </c>
      <c r="C23" s="36">
        <f t="shared" si="8"/>
        <v>1.0000000000000002</v>
      </c>
      <c r="D23" s="35">
        <f t="shared" si="8"/>
        <v>5852150</v>
      </c>
      <c r="E23" s="36">
        <f t="shared" si="8"/>
        <v>1</v>
      </c>
      <c r="F23" s="36">
        <f t="shared" si="8"/>
        <v>1</v>
      </c>
      <c r="G23" s="34">
        <f t="shared" si="8"/>
        <v>1250166</v>
      </c>
      <c r="H23" s="29">
        <f t="shared" si="8"/>
        <v>3429817</v>
      </c>
      <c r="I23" s="45">
        <f t="shared" si="8"/>
        <v>1</v>
      </c>
      <c r="J23" s="34">
        <f t="shared" si="8"/>
        <v>157500</v>
      </c>
      <c r="K23" s="63">
        <f t="shared" si="8"/>
        <v>1407666</v>
      </c>
      <c r="L23" s="64">
        <f t="shared" si="8"/>
        <v>1340943.9999999998</v>
      </c>
      <c r="M23" s="62"/>
    </row>
    <row r="24" spans="1:13" x14ac:dyDescent="0.3">
      <c r="H24" s="31"/>
    </row>
    <row r="25" spans="1:13" x14ac:dyDescent="0.3">
      <c r="A25" s="179" t="s">
        <v>126</v>
      </c>
    </row>
    <row r="26" spans="1:13" ht="28.8" x14ac:dyDescent="0.3">
      <c r="A26" s="41" t="s">
        <v>73</v>
      </c>
      <c r="I26" s="65"/>
    </row>
    <row r="27" spans="1:13" ht="28.8" x14ac:dyDescent="0.3">
      <c r="A27" s="41" t="s">
        <v>74</v>
      </c>
      <c r="I27" s="65"/>
    </row>
    <row r="28" spans="1:13" x14ac:dyDescent="0.3">
      <c r="A28" s="168" t="s">
        <v>114</v>
      </c>
      <c r="B28" s="169"/>
      <c r="C28" s="170"/>
      <c r="D28" s="117"/>
      <c r="I28" s="65"/>
    </row>
    <row r="29" spans="1:13" x14ac:dyDescent="0.3">
      <c r="A29" s="168" t="s">
        <v>115</v>
      </c>
      <c r="B29" s="169"/>
      <c r="C29" s="170"/>
      <c r="D29" s="117"/>
      <c r="I29" s="65"/>
    </row>
    <row r="30" spans="1:13" x14ac:dyDescent="0.3">
      <c r="A30" s="171" t="s">
        <v>116</v>
      </c>
      <c r="B30" s="172"/>
      <c r="C30" s="173"/>
      <c r="D30" s="117"/>
      <c r="I30" s="65"/>
    </row>
    <row r="31" spans="1:13" ht="16.95" customHeight="1" x14ac:dyDescent="0.3">
      <c r="A31" s="168" t="s">
        <v>117</v>
      </c>
      <c r="B31" s="169"/>
      <c r="C31" s="170"/>
      <c r="D31" s="117"/>
      <c r="I31" s="65"/>
    </row>
    <row r="32" spans="1:13" ht="16.95" customHeight="1" x14ac:dyDescent="0.3">
      <c r="A32" s="168" t="s">
        <v>118</v>
      </c>
      <c r="B32" s="169"/>
      <c r="C32" s="170"/>
      <c r="D32" s="117"/>
      <c r="I32" s="65"/>
    </row>
    <row r="33" spans="1:9" x14ac:dyDescent="0.3">
      <c r="A33" s="171" t="s">
        <v>119</v>
      </c>
      <c r="B33" s="172"/>
      <c r="C33" s="173"/>
      <c r="D33" s="117"/>
      <c r="I33" s="65"/>
    </row>
    <row r="34" spans="1:9" x14ac:dyDescent="0.3">
      <c r="A34" s="168" t="s">
        <v>120</v>
      </c>
      <c r="B34" s="169"/>
      <c r="C34" s="170"/>
      <c r="D34" s="117"/>
      <c r="I34" s="65"/>
    </row>
    <row r="35" spans="1:9" x14ac:dyDescent="0.3">
      <c r="A35" s="168" t="s">
        <v>121</v>
      </c>
      <c r="B35" s="169"/>
      <c r="C35" s="170"/>
      <c r="D35" s="117"/>
      <c r="I35" s="65"/>
    </row>
    <row r="36" spans="1:9" x14ac:dyDescent="0.3">
      <c r="I36" s="65"/>
    </row>
    <row r="37" spans="1:9" x14ac:dyDescent="0.3">
      <c r="I37" s="65"/>
    </row>
    <row r="38" spans="1:9" x14ac:dyDescent="0.3">
      <c r="I38" s="65"/>
    </row>
    <row r="39" spans="1:9" x14ac:dyDescent="0.3">
      <c r="I39" s="65"/>
    </row>
    <row r="40" spans="1:9" x14ac:dyDescent="0.3">
      <c r="I40" s="65"/>
    </row>
    <row r="41" spans="1:9" x14ac:dyDescent="0.3">
      <c r="I41" s="65"/>
    </row>
  </sheetData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2"/>
  <sheetViews>
    <sheetView zoomScale="90" zoomScaleNormal="90" workbookViewId="0">
      <selection activeCell="L28" sqref="L28"/>
    </sheetView>
  </sheetViews>
  <sheetFormatPr defaultColWidth="9.33203125" defaultRowHeight="14.4" x14ac:dyDescent="0.3"/>
  <cols>
    <col min="1" max="1" width="42.6640625" style="8" customWidth="1"/>
    <col min="2" max="3" width="10.44140625" style="8" bestFit="1" customWidth="1"/>
    <col min="4" max="5" width="15.33203125" style="8" bestFit="1" customWidth="1"/>
    <col min="6" max="7" width="15.33203125" style="8" customWidth="1"/>
    <col min="8" max="8" width="18.44140625" style="8" bestFit="1" customWidth="1"/>
    <col min="9" max="9" width="18.6640625" style="8" customWidth="1"/>
    <col min="10" max="10" width="15.33203125" style="8" customWidth="1"/>
    <col min="11" max="11" width="16.44140625" style="8" customWidth="1"/>
    <col min="12" max="13" width="21.33203125" style="8" bestFit="1" customWidth="1"/>
    <col min="14" max="16384" width="9.33203125" style="8"/>
  </cols>
  <sheetData>
    <row r="1" spans="1:13" x14ac:dyDescent="0.3">
      <c r="A1" s="1"/>
      <c r="B1" s="161"/>
      <c r="C1" s="50" t="s">
        <v>111</v>
      </c>
      <c r="D1" s="51"/>
    </row>
    <row r="2" spans="1:13" ht="15" thickBot="1" x14ac:dyDescent="0.35">
      <c r="A2" s="1"/>
      <c r="B2" s="160"/>
      <c r="C2" s="52" t="s">
        <v>94</v>
      </c>
      <c r="D2" s="53"/>
    </row>
    <row r="3" spans="1:13" x14ac:dyDescent="0.3">
      <c r="A3" s="57"/>
      <c r="B3" s="57"/>
      <c r="C3" s="58"/>
      <c r="D3" s="58"/>
    </row>
    <row r="4" spans="1:13" x14ac:dyDescent="0.3">
      <c r="A4" s="57"/>
      <c r="B4" s="57"/>
      <c r="C4" s="58"/>
      <c r="D4" s="7"/>
    </row>
    <row r="5" spans="1:13" x14ac:dyDescent="0.3">
      <c r="A5" s="57"/>
      <c r="B5" s="57"/>
      <c r="C5" s="58"/>
      <c r="D5" s="7"/>
    </row>
    <row r="6" spans="1:13" s="33" customFormat="1" x14ac:dyDescent="0.3">
      <c r="A6" s="41"/>
      <c r="B6" s="162">
        <v>2021</v>
      </c>
      <c r="C6" s="39">
        <v>2020</v>
      </c>
      <c r="D6" s="39">
        <v>2020</v>
      </c>
      <c r="E6" s="39">
        <v>2019</v>
      </c>
      <c r="F6" s="39">
        <v>2023</v>
      </c>
      <c r="G6" s="39">
        <v>2022</v>
      </c>
      <c r="H6" s="39">
        <v>2023</v>
      </c>
      <c r="I6" s="39">
        <v>2022</v>
      </c>
      <c r="J6" s="39">
        <v>2021</v>
      </c>
      <c r="K6" s="21">
        <v>2020</v>
      </c>
      <c r="L6" s="21">
        <v>2023</v>
      </c>
      <c r="M6" s="21">
        <v>2022</v>
      </c>
    </row>
    <row r="7" spans="1:13" s="80" customFormat="1" x14ac:dyDescent="0.3">
      <c r="A7" s="24" t="s">
        <v>49</v>
      </c>
      <c r="B7" s="24" t="s">
        <v>51</v>
      </c>
      <c r="C7" s="25" t="s">
        <v>51</v>
      </c>
      <c r="D7" s="25" t="s">
        <v>52</v>
      </c>
      <c r="E7" s="25" t="s">
        <v>52</v>
      </c>
      <c r="F7" s="25" t="s">
        <v>76</v>
      </c>
      <c r="G7" s="25" t="s">
        <v>76</v>
      </c>
      <c r="H7" s="25" t="s">
        <v>79</v>
      </c>
      <c r="I7" s="25" t="s">
        <v>77</v>
      </c>
      <c r="J7" s="25" t="s">
        <v>55</v>
      </c>
      <c r="K7" s="68" t="s">
        <v>55</v>
      </c>
      <c r="L7" s="68" t="s">
        <v>80</v>
      </c>
      <c r="M7" s="68" t="s">
        <v>80</v>
      </c>
    </row>
    <row r="8" spans="1:13" s="33" customFormat="1" x14ac:dyDescent="0.3">
      <c r="A8" s="41" t="s">
        <v>57</v>
      </c>
      <c r="B8" s="46">
        <f>'Buying pool summary'!C7</f>
        <v>1.9912601162585152E-2</v>
      </c>
      <c r="C8" s="48">
        <v>1.8584797002591275E-2</v>
      </c>
      <c r="D8" s="46">
        <f>'Buying pool summary'!E7</f>
        <v>2.7388053963073401E-2</v>
      </c>
      <c r="E8" s="48">
        <v>2.7460693977848335E-2</v>
      </c>
      <c r="F8" s="46">
        <f>'Buying pool summary'!F7</f>
        <v>2.1781464362707212E-2</v>
      </c>
      <c r="G8" s="159">
        <v>2.080377124640554E-2</v>
      </c>
      <c r="H8" s="55">
        <f>'Buying pool summary'!G7</f>
        <v>27230.446176468224</v>
      </c>
      <c r="I8" s="86">
        <v>24620.098258931157</v>
      </c>
      <c r="J8" s="46">
        <f>'Buying pool summary'!I7</f>
        <v>1.7529506676303722E-2</v>
      </c>
      <c r="K8" s="159">
        <v>1.7337483300645235E-2</v>
      </c>
      <c r="L8" s="55">
        <f>'Buying pool summary'!J7</f>
        <v>2760.8973015178362</v>
      </c>
      <c r="M8" s="86">
        <v>2730.6536198516246</v>
      </c>
    </row>
    <row r="9" spans="1:13" s="33" customFormat="1" x14ac:dyDescent="0.3">
      <c r="A9" s="43" t="s">
        <v>58</v>
      </c>
      <c r="B9" s="46">
        <f>'Buying pool summary'!C8</f>
        <v>9.9227558494326698E-2</v>
      </c>
      <c r="C9" s="48">
        <v>0.10408926394277654</v>
      </c>
      <c r="D9" s="46">
        <f>'Buying pool summary'!E8</f>
        <v>8.7569354852490108E-2</v>
      </c>
      <c r="E9" s="48">
        <v>8.7500639605794045E-2</v>
      </c>
      <c r="F9" s="46">
        <f>'Buying pool summary'!F8</f>
        <v>9.6313007583867558E-2</v>
      </c>
      <c r="G9" s="159">
        <v>9.9942107858530915E-2</v>
      </c>
      <c r="H9" s="55">
        <f>'Buying pool summary'!G8</f>
        <v>120407.24743909336</v>
      </c>
      <c r="I9" s="86">
        <v>118275.88789253126</v>
      </c>
      <c r="J9" s="46">
        <f>'Buying pool summary'!I8</f>
        <v>0.11172461971003117</v>
      </c>
      <c r="K9" s="159">
        <v>0.10832921179045507</v>
      </c>
      <c r="L9" s="55">
        <f>'Buying pool summary'!J8</f>
        <v>17596.627604329908</v>
      </c>
      <c r="M9" s="86">
        <v>17061.850856996673</v>
      </c>
    </row>
    <row r="10" spans="1:13" x14ac:dyDescent="0.3">
      <c r="A10" s="41" t="s">
        <v>91</v>
      </c>
      <c r="B10" s="46">
        <f>'Buying pool summary'!C9</f>
        <v>9.5486560331200981E-2</v>
      </c>
      <c r="C10" s="48">
        <v>9.500437593558303E-2</v>
      </c>
      <c r="D10" s="46">
        <f>'Buying pool summary'!E9</f>
        <v>8.1278675358628885E-2</v>
      </c>
      <c r="E10" s="48">
        <v>8.0784222589319346E-2</v>
      </c>
      <c r="F10" s="46">
        <f>'Buying pool summary'!F9</f>
        <v>9.1934589088057961E-2</v>
      </c>
      <c r="G10" s="159">
        <v>9.1449337599017105E-2</v>
      </c>
      <c r="H10" s="55">
        <f>'Buying pool summary'!G9</f>
        <v>114933.49750186107</v>
      </c>
      <c r="I10" s="86">
        <v>108225.1698855312</v>
      </c>
      <c r="J10" s="46">
        <f>'Buying pool summary'!I9</f>
        <v>9.4228350958666302E-2</v>
      </c>
      <c r="K10" s="159">
        <v>8.9427816150763201E-2</v>
      </c>
      <c r="L10" s="55">
        <f>'Buying pool summary'!J9</f>
        <v>14840.965275989942</v>
      </c>
      <c r="M10" s="54">
        <v>14084.881043745205</v>
      </c>
    </row>
    <row r="11" spans="1:13" x14ac:dyDescent="0.3">
      <c r="A11" s="43" t="s">
        <v>59</v>
      </c>
      <c r="B11" s="46">
        <f>'Buying pool summary'!C10</f>
        <v>2.0786045135357395E-2</v>
      </c>
      <c r="C11" s="48">
        <v>2.0400460251847021E-2</v>
      </c>
      <c r="D11" s="46">
        <f>'Buying pool summary'!E10</f>
        <v>2.9157489127927344E-2</v>
      </c>
      <c r="E11" s="48">
        <v>2.9100651790391383E-2</v>
      </c>
      <c r="F11" s="46">
        <f>'Buying pool summary'!F10</f>
        <v>2.2878906133499882E-2</v>
      </c>
      <c r="G11" s="159">
        <v>2.2575508136483111E-2</v>
      </c>
      <c r="H11" s="55">
        <f>'Buying pool summary'!G10</f>
        <v>28602.430565293012</v>
      </c>
      <c r="I11" s="86">
        <v>26716.84965107212</v>
      </c>
      <c r="J11" s="46">
        <f>'Buying pool summary'!I10</f>
        <v>2.128247658694327E-2</v>
      </c>
      <c r="K11" s="159">
        <v>2.0381740143827633E-2</v>
      </c>
      <c r="L11" s="55">
        <f>'Buying pool summary'!J10</f>
        <v>3351.990062443565</v>
      </c>
      <c r="M11" s="54">
        <v>3210.1240726528522</v>
      </c>
    </row>
    <row r="12" spans="1:13" x14ac:dyDescent="0.3">
      <c r="A12" s="43" t="s">
        <v>60</v>
      </c>
      <c r="B12" s="46">
        <f>'Buying pool summary'!C11</f>
        <v>3.6476333270994039E-2</v>
      </c>
      <c r="C12" s="48">
        <v>3.5812096783180175E-2</v>
      </c>
      <c r="D12" s="46">
        <f>'Buying pool summary'!E11</f>
        <v>4.9225327443759986E-2</v>
      </c>
      <c r="E12" s="48">
        <v>4.9317499973902369E-2</v>
      </c>
      <c r="F12" s="46">
        <f>'Buying pool summary'!F11</f>
        <v>3.9663581814185528E-2</v>
      </c>
      <c r="G12" s="159">
        <v>3.9188447580860722E-2</v>
      </c>
      <c r="H12" s="55">
        <f>'Buying pool summary'!G11</f>
        <v>49586.061422313061</v>
      </c>
      <c r="I12" s="86">
        <v>46377.333158884139</v>
      </c>
      <c r="J12" s="46">
        <f>'Buying pool summary'!I11</f>
        <v>3.6139829034610299E-2</v>
      </c>
      <c r="K12" s="159">
        <v>3.5408032744947554E-2</v>
      </c>
      <c r="L12" s="55">
        <f>'Buying pool summary'!J11</f>
        <v>5692.0230729511222</v>
      </c>
      <c r="M12" s="54">
        <v>5576.7651573292396</v>
      </c>
    </row>
    <row r="13" spans="1:13" x14ac:dyDescent="0.3">
      <c r="A13" s="43" t="s">
        <v>61</v>
      </c>
      <c r="B13" s="46">
        <f>'Buying pool summary'!C12</f>
        <v>1.4414467498597365E-2</v>
      </c>
      <c r="C13" s="48">
        <v>1.2734786873507603E-2</v>
      </c>
      <c r="D13" s="46">
        <f>'Buying pool summary'!E12</f>
        <v>2.0566287603701203E-2</v>
      </c>
      <c r="E13" s="48">
        <v>2.0560994605406436E-2</v>
      </c>
      <c r="F13" s="46">
        <f>'Buying pool summary'!F12</f>
        <v>1.5952422524873326E-2</v>
      </c>
      <c r="G13" s="159">
        <v>1.469133880648231E-2</v>
      </c>
      <c r="H13" s="55">
        <f>'Buying pool summary'!G12</f>
        <v>19943.176258230786</v>
      </c>
      <c r="I13" s="86">
        <v>17386.37676249865</v>
      </c>
      <c r="J13" s="46">
        <f>'Buying pool summary'!I12</f>
        <v>1.2794560176242638E-2</v>
      </c>
      <c r="K13" s="159">
        <v>1.2130695545891248E-2</v>
      </c>
      <c r="L13" s="55">
        <f>'Buying pool summary'!J12</f>
        <v>2015.1432277582155</v>
      </c>
      <c r="M13" s="54">
        <v>1910.5845484778715</v>
      </c>
    </row>
    <row r="14" spans="1:13" x14ac:dyDescent="0.3">
      <c r="A14" s="43" t="s">
        <v>62</v>
      </c>
      <c r="B14" s="46">
        <f>'Buying pool summary'!C13</f>
        <v>9.3448737885468203E-2</v>
      </c>
      <c r="C14" s="48">
        <v>9.3794743334162906E-2</v>
      </c>
      <c r="D14" s="46">
        <f>'Buying pool summary'!E13</f>
        <v>0.161342412617585</v>
      </c>
      <c r="E14" s="48">
        <v>0.16195691478465693</v>
      </c>
      <c r="F14" s="46">
        <f>'Buying pool summary'!F13</f>
        <v>0.11042215656849741</v>
      </c>
      <c r="G14" s="159">
        <v>0.1108352861967864</v>
      </c>
      <c r="H14" s="55">
        <f>'Buying pool summary'!G13</f>
        <v>138046.02578861214</v>
      </c>
      <c r="I14" s="86">
        <v>131167.35443786968</v>
      </c>
      <c r="J14" s="46">
        <f>'Buying pool summary'!I13</f>
        <v>0.10349765016617504</v>
      </c>
      <c r="K14" s="159">
        <v>0.10189221454762513</v>
      </c>
      <c r="L14" s="55">
        <f>'Buying pool summary'!J13</f>
        <v>16300.87990117257</v>
      </c>
      <c r="M14" s="54">
        <v>16048.023791250958</v>
      </c>
    </row>
    <row r="15" spans="1:13" x14ac:dyDescent="0.3">
      <c r="A15" s="41" t="s">
        <v>63</v>
      </c>
      <c r="B15" s="46">
        <f>'Buying pool summary'!C14</f>
        <v>7.3426615975426365E-2</v>
      </c>
      <c r="C15" s="48">
        <v>7.1199172072416231E-2</v>
      </c>
      <c r="D15" s="46">
        <f>'Buying pool summary'!E14</f>
        <v>7.3433182676452241E-2</v>
      </c>
      <c r="E15" s="48">
        <v>7.3166795671661386E-2</v>
      </c>
      <c r="F15" s="46">
        <f>'Buying pool summary'!F14</f>
        <v>7.3428257650682838E-2</v>
      </c>
      <c r="G15" s="159">
        <v>7.1691077972227527E-2</v>
      </c>
      <c r="H15" s="55">
        <f>'Buying pool summary'!G14</f>
        <v>91797.511154123567</v>
      </c>
      <c r="I15" s="86">
        <v>84842.376079764828</v>
      </c>
      <c r="J15" s="46">
        <f>'Buying pool summary'!I14</f>
        <v>7.1668838308282926E-2</v>
      </c>
      <c r="K15" s="159">
        <v>7.0070208351098603E-2</v>
      </c>
      <c r="L15" s="55">
        <f>'Buying pool summary'!J14</f>
        <v>11287.842033554562</v>
      </c>
      <c r="M15" s="54">
        <v>11036.057815298031</v>
      </c>
    </row>
    <row r="16" spans="1:13" x14ac:dyDescent="0.3">
      <c r="A16" s="43" t="s">
        <v>64</v>
      </c>
      <c r="B16" s="46">
        <f>'Buying pool summary'!C15</f>
        <v>6.7125490281474728E-2</v>
      </c>
      <c r="C16" s="48">
        <v>6.8517322161720753E-2</v>
      </c>
      <c r="D16" s="46">
        <f>'Buying pool summary'!E15</f>
        <v>7.6469160906675326E-2</v>
      </c>
      <c r="E16" s="48">
        <v>7.6159722957852075E-2</v>
      </c>
      <c r="F16" s="46">
        <f>'Buying pool summary'!F15</f>
        <v>6.9461407937774874E-2</v>
      </c>
      <c r="G16" s="159">
        <v>7.0427922360753584E-2</v>
      </c>
      <c r="H16" s="55">
        <f>'Buying pool summary'!G15</f>
        <v>86838.290515936271</v>
      </c>
      <c r="I16" s="86">
        <v>83347.502150299668</v>
      </c>
      <c r="J16" s="46">
        <f>'Buying pool summary'!I15</f>
        <v>6.7908870939761515E-2</v>
      </c>
      <c r="K16" s="159">
        <v>6.7074273045109573E-2</v>
      </c>
      <c r="L16" s="55">
        <f>'Buying pool summary'!J15</f>
        <v>10695.647173012439</v>
      </c>
      <c r="M16" s="54">
        <v>10564.198004604757</v>
      </c>
    </row>
    <row r="17" spans="1:13" x14ac:dyDescent="0.3">
      <c r="A17" s="43" t="s">
        <v>65</v>
      </c>
      <c r="B17" s="46">
        <f>'Buying pool summary'!C16</f>
        <v>3.6258252484391691E-2</v>
      </c>
      <c r="C17" s="48">
        <v>3.3691132380123223E-2</v>
      </c>
      <c r="D17" s="46">
        <f>'Buying pool summary'!E16</f>
        <v>2.5509257281511922E-2</v>
      </c>
      <c r="E17" s="48">
        <v>2.5987589850709591E-2</v>
      </c>
      <c r="F17" s="46">
        <f>'Buying pool summary'!F16</f>
        <v>3.3571003683671753E-2</v>
      </c>
      <c r="G17" s="159">
        <v>3.1765246747769815E-2</v>
      </c>
      <c r="H17" s="55">
        <f>'Buying pool summary'!G16</f>
        <v>41969.327391201179</v>
      </c>
      <c r="I17" s="86">
        <v>37592.390672167698</v>
      </c>
      <c r="J17" s="46">
        <f>'Buying pool summary'!I16</f>
        <v>3.1983339052783284E-2</v>
      </c>
      <c r="K17" s="159">
        <v>3.0038657229754698E-2</v>
      </c>
      <c r="L17" s="55">
        <f>'Buying pool summary'!J16</f>
        <v>5037.3759008133675</v>
      </c>
      <c r="M17" s="54">
        <v>4731.0885136863653</v>
      </c>
    </row>
    <row r="18" spans="1:13" x14ac:dyDescent="0.3">
      <c r="A18" s="43" t="s">
        <v>66</v>
      </c>
      <c r="B18" s="46">
        <f>'Buying pool summary'!C17</f>
        <v>3.6002543955607591E-2</v>
      </c>
      <c r="C18" s="48">
        <v>4.0114314352468684E-2</v>
      </c>
      <c r="D18" s="46">
        <f>'Buying pool summary'!E17</f>
        <v>4.2927129345625113E-2</v>
      </c>
      <c r="E18" s="48">
        <v>4.287848790516139E-2</v>
      </c>
      <c r="F18" s="46">
        <f>'Buying pool summary'!F17</f>
        <v>3.7733690303111973E-2</v>
      </c>
      <c r="G18" s="159">
        <v>4.0805357740641861E-2</v>
      </c>
      <c r="H18" s="55">
        <f>'Buying pool summary'!G17</f>
        <v>47173.376671480284</v>
      </c>
      <c r="I18" s="86">
        <v>48290.855786016167</v>
      </c>
      <c r="J18" s="46">
        <f>'Buying pool summary'!I17</f>
        <v>3.6422642957335626E-2</v>
      </c>
      <c r="K18" s="159">
        <v>3.9224297205878174E-2</v>
      </c>
      <c r="L18" s="55">
        <f>'Buying pool summary'!J17</f>
        <v>5736.5662657803614</v>
      </c>
      <c r="M18" s="54">
        <v>6177.8268099258121</v>
      </c>
    </row>
    <row r="19" spans="1:13" x14ac:dyDescent="0.3">
      <c r="A19" s="43" t="s">
        <v>67</v>
      </c>
      <c r="B19" s="46">
        <f>'Buying pool summary'!C18</f>
        <v>0.23529091528602208</v>
      </c>
      <c r="C19" s="48">
        <v>0.23167043019032676</v>
      </c>
      <c r="D19" s="46">
        <f>'Buying pool summary'!E18</f>
        <v>0.14846458139316321</v>
      </c>
      <c r="E19" s="48">
        <v>0.14841370062136314</v>
      </c>
      <c r="F19" s="46">
        <f>'Buying pool summary'!F18</f>
        <v>0.21358433181280737</v>
      </c>
      <c r="G19" s="159">
        <v>0.21085624779808587</v>
      </c>
      <c r="H19" s="55">
        <f>'Buying pool summary'!G18</f>
        <v>267015.86976509012</v>
      </c>
      <c r="I19" s="86">
        <v>249536.56131915795</v>
      </c>
      <c r="J19" s="46">
        <f>'Buying pool summary'!I18</f>
        <v>0.24617669105961046</v>
      </c>
      <c r="K19" s="159">
        <v>0.24694835280407038</v>
      </c>
      <c r="L19" s="55">
        <f>'Buying pool summary'!J18</f>
        <v>38772.828841888644</v>
      </c>
      <c r="M19" s="54">
        <v>38894.365566641085</v>
      </c>
    </row>
    <row r="20" spans="1:13" x14ac:dyDescent="0.3">
      <c r="A20" s="43" t="s">
        <v>68</v>
      </c>
      <c r="B20" s="46">
        <f>'Buying pool summary'!C19</f>
        <v>2.104799826816315E-2</v>
      </c>
      <c r="C20" s="48">
        <v>1.9973724385490353E-2</v>
      </c>
      <c r="D20" s="46">
        <f>'Buying pool summary'!E19</f>
        <v>2.196423536648924E-2</v>
      </c>
      <c r="E20" s="48">
        <v>2.2013734026326601E-2</v>
      </c>
      <c r="F20" s="46">
        <f>'Buying pool summary'!F19</f>
        <v>2.1277057542744674E-2</v>
      </c>
      <c r="G20" s="159">
        <v>2.0483726795699417E-2</v>
      </c>
      <c r="H20" s="55">
        <f>'Buying pool summary'!G19</f>
        <v>26599.853919982939</v>
      </c>
      <c r="I20" s="86">
        <v>24241.343574009701</v>
      </c>
      <c r="J20" s="46">
        <f>'Buying pool summary'!I19</f>
        <v>1.7586944143084017E-2</v>
      </c>
      <c r="K20" s="159">
        <v>1.7907393195190587E-2</v>
      </c>
      <c r="L20" s="55">
        <f>'Buying pool summary'!J19</f>
        <v>2769.9437025357329</v>
      </c>
      <c r="M20" s="54">
        <v>2820.4144282425173</v>
      </c>
    </row>
    <row r="21" spans="1:13" x14ac:dyDescent="0.3">
      <c r="A21" s="43" t="s">
        <v>69</v>
      </c>
      <c r="B21" s="46">
        <f>'Buying pool summary'!C20</f>
        <v>5.1849427545941074E-2</v>
      </c>
      <c r="C21" s="48">
        <v>4.8709891900247528E-2</v>
      </c>
      <c r="D21" s="46">
        <f>'Buying pool summary'!E20</f>
        <v>4.9519407397281341E-2</v>
      </c>
      <c r="E21" s="48">
        <v>4.9366957117576056E-2</v>
      </c>
      <c r="F21" s="46">
        <f>'Buying pool summary'!F20</f>
        <v>5.1266922508776139E-2</v>
      </c>
      <c r="G21" s="159">
        <v>4.887415820457966E-2</v>
      </c>
      <c r="H21" s="55">
        <f>'Buying pool summary'!G20</f>
        <v>64092.163445106627</v>
      </c>
      <c r="I21" s="86">
        <v>57839.829282260573</v>
      </c>
      <c r="J21" s="46">
        <f>'Buying pool summary'!I20</f>
        <v>4.4163872299892382E-2</v>
      </c>
      <c r="K21" s="159">
        <v>4.456610102043717E-2</v>
      </c>
      <c r="L21" s="55">
        <f>'Buying pool summary'!J20</f>
        <v>6955.8098872330502</v>
      </c>
      <c r="M21" s="54">
        <v>7019.1609107188542</v>
      </c>
    </row>
    <row r="22" spans="1:13" x14ac:dyDescent="0.3">
      <c r="A22" s="43" t="s">
        <v>70</v>
      </c>
      <c r="B22" s="46">
        <f>'Buying pool summary'!C21</f>
        <v>4.9423639060606601E-2</v>
      </c>
      <c r="C22" s="48">
        <v>5.9869741984094622E-2</v>
      </c>
      <c r="D22" s="46">
        <f>'Buying pool summary'!E21</f>
        <v>5.6641063540749978E-2</v>
      </c>
      <c r="E22" s="48">
        <v>5.680024601934168E-2</v>
      </c>
      <c r="F22" s="46">
        <f>'Buying pool summary'!F21</f>
        <v>5.1227995180642444E-2</v>
      </c>
      <c r="G22" s="159">
        <v>5.9102367992906385E-2</v>
      </c>
      <c r="H22" s="55">
        <f>'Buying pool summary'!G21</f>
        <v>64043.497823003039</v>
      </c>
      <c r="I22" s="86">
        <v>69944.342786997106</v>
      </c>
      <c r="J22" s="46">
        <f>'Buying pool summary'!I21</f>
        <v>4.5551409885716931E-2</v>
      </c>
      <c r="K22" s="159">
        <v>5.8339728830903041E-2</v>
      </c>
      <c r="L22" s="55">
        <f>'Buying pool summary'!J21</f>
        <v>7174.3470570004165</v>
      </c>
      <c r="M22" s="54">
        <v>9188.5072908672282</v>
      </c>
    </row>
    <row r="23" spans="1:13" x14ac:dyDescent="0.3">
      <c r="A23" s="43" t="s">
        <v>71</v>
      </c>
      <c r="B23" s="46">
        <f>'Buying pool summary'!C22</f>
        <v>4.9822813363836892E-2</v>
      </c>
      <c r="C23" s="48">
        <v>4.5833746449463302E-2</v>
      </c>
      <c r="D23" s="46">
        <f>'Buying pool summary'!E22</f>
        <v>4.8544381124885724E-2</v>
      </c>
      <c r="E23" s="48">
        <v>4.8531148502689254E-2</v>
      </c>
      <c r="F23" s="46">
        <f>'Buying pool summary'!F22</f>
        <v>4.9503205304099102E-2</v>
      </c>
      <c r="G23" s="159">
        <v>4.6508096962769786E-2</v>
      </c>
      <c r="H23" s="55">
        <f>'Buying pool summary'!G22</f>
        <v>61887.224162204358</v>
      </c>
      <c r="I23" s="86">
        <v>55039.72830200813</v>
      </c>
      <c r="J23" s="46">
        <f>'Buying pool summary'!I22</f>
        <v>4.1340398044560397E-2</v>
      </c>
      <c r="K23" s="159">
        <v>4.0923794093402688E-2</v>
      </c>
      <c r="L23" s="55">
        <f>'Buying pool summary'!J22</f>
        <v>6511.1126920182624</v>
      </c>
      <c r="M23" s="54">
        <v>6445.497569710923</v>
      </c>
    </row>
    <row r="24" spans="1:13" hidden="1" x14ac:dyDescent="0.3">
      <c r="A24" s="43"/>
      <c r="B24" s="43"/>
      <c r="C24" s="33"/>
      <c r="D24" s="33"/>
      <c r="E24" s="36">
        <v>0</v>
      </c>
      <c r="F24" s="36"/>
      <c r="G24" s="36"/>
      <c r="I24" s="36"/>
      <c r="J24" s="36"/>
      <c r="K24" s="42">
        <v>0</v>
      </c>
    </row>
    <row r="25" spans="1:13" x14ac:dyDescent="0.3">
      <c r="A25" s="44" t="s">
        <v>72</v>
      </c>
      <c r="B25" s="73">
        <f t="shared" ref="B25:G25" si="0">SUM(B8:B23)</f>
        <v>1.0000000000000002</v>
      </c>
      <c r="C25" s="73">
        <f t="shared" si="0"/>
        <v>1.0000000000000002</v>
      </c>
      <c r="D25" s="73">
        <f t="shared" si="0"/>
        <v>1</v>
      </c>
      <c r="E25" s="73">
        <f t="shared" si="0"/>
        <v>1.0000000000000002</v>
      </c>
      <c r="F25" s="73">
        <f t="shared" si="0"/>
        <v>1</v>
      </c>
      <c r="G25" s="73">
        <f t="shared" si="0"/>
        <v>1</v>
      </c>
      <c r="H25" s="18">
        <f t="shared" ref="H25:M25" si="1">SUM(H8:H23)</f>
        <v>1250166</v>
      </c>
      <c r="I25" s="49">
        <f t="shared" si="1"/>
        <v>1183444</v>
      </c>
      <c r="J25" s="74">
        <f t="shared" si="1"/>
        <v>1</v>
      </c>
      <c r="K25" s="74">
        <f t="shared" si="1"/>
        <v>1</v>
      </c>
      <c r="L25" s="49">
        <f t="shared" si="1"/>
        <v>157500</v>
      </c>
      <c r="M25" s="49">
        <f t="shared" si="1"/>
        <v>157499.99999999997</v>
      </c>
    </row>
    <row r="26" spans="1:13" x14ac:dyDescent="0.3">
      <c r="A26" s="1"/>
      <c r="B26" s="1"/>
    </row>
    <row r="27" spans="1:13" x14ac:dyDescent="0.3">
      <c r="A27" s="37"/>
      <c r="B27" s="37"/>
    </row>
    <row r="28" spans="1:13" x14ac:dyDescent="0.3">
      <c r="A28" s="38"/>
      <c r="B28" s="38"/>
    </row>
    <row r="29" spans="1:13" x14ac:dyDescent="0.3">
      <c r="A29" s="37"/>
      <c r="B29" s="37"/>
    </row>
    <row r="30" spans="1:13" x14ac:dyDescent="0.3">
      <c r="A30" s="37"/>
      <c r="B30" s="37"/>
    </row>
    <row r="32" spans="1:13" x14ac:dyDescent="0.3">
      <c r="A32" s="37"/>
      <c r="B32" s="37"/>
    </row>
  </sheetData>
  <pageMargins left="0.7" right="0.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2023 budget</vt:lpstr>
      <vt:lpstr>21-22 comparison and totals</vt:lpstr>
      <vt:lpstr>22-23 comparisons and totals</vt:lpstr>
      <vt:lpstr>Member shares</vt:lpstr>
      <vt:lpstr>Magazine Costs</vt:lpstr>
      <vt:lpstr>Buying pool summary</vt:lpstr>
      <vt:lpstr>Buying pool 22-23 comparison</vt:lpstr>
      <vt:lpstr>'21-22 comparison and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Melody Clark</cp:lastModifiedBy>
  <cp:lastPrinted>2022-03-30T19:37:34Z</cp:lastPrinted>
  <dcterms:created xsi:type="dcterms:W3CDTF">2007-05-31T16:25:10Z</dcterms:created>
  <dcterms:modified xsi:type="dcterms:W3CDTF">2022-05-05T20:15:01Z</dcterms:modified>
</cp:coreProperties>
</file>